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36d11225404b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比較サマリー" sheetId="1" r:id="R10325da547344ada"/>
    <x:sheet xmlns:r="http://schemas.openxmlformats.org/officeDocument/2006/relationships" name="入力条件" sheetId="2" r:id="Ra5d12e2585a24408"/>
    <x:sheet xmlns:r="http://schemas.openxmlformats.org/officeDocument/2006/relationships" name="年次CF" sheetId="3" r:id="R0d48c2824bb944a5"/>
    <x:sheet xmlns:r="http://schemas.openxmlformats.org/officeDocument/2006/relationships" name="見積比較RFP" sheetId="4" r:id="Rc5c9620e6d264e9b"/>
    <x:sheet xmlns:r="http://schemas.openxmlformats.org/officeDocument/2006/relationships" name="BCP" sheetId="5" r:id="R32f36b7ec18a41dc"/>
    <x:sheet xmlns:r="http://schemas.openxmlformats.org/officeDocument/2006/relationships" name="電力契約比較" sheetId="6" r:id="R061f72662419465b"/>
    <x:sheet xmlns:r="http://schemas.openxmlformats.org/officeDocument/2006/relationships" name="補助金台帳" sheetId="7" r:id="R531680ce7f87418b"/>
    <x:sheet xmlns:r="http://schemas.openxmlformats.org/officeDocument/2006/relationships" name="稟議確認" sheetId="8" r:id="R8b0716296718442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;(#,##0);&quot;–&quot;"/>
    <x:numFmt numFmtId="201" formatCode="0.0%"/>
    <x:numFmt numFmtId="202" formatCode="0.00"/>
    <x:numFmt numFmtId="203" formatCode="0.0"/>
  </x:numFmts>
  <x:fonts count="6">
    <x:font>
      <x:sz val="11"/>
      <x:name val="Carlito"/>
    </x:font>
    <x:font>
      <x:sz val="11"/>
      <x:color rgb="FF182826"/>
      <x:name val="Noto Sans CJK JP"/>
    </x:font>
    <x:font>
      <x:b/>
      <x:sz val="16"/>
      <x:color rgb="FF182826"/>
      <x:name val="Noto Sans CJK JP"/>
    </x:font>
    <x:font>
      <x:b/>
      <x:sz val="11"/>
      <x:color rgb="FFFFFFFF"/>
      <x:name val="Noto Sans CJK JP"/>
    </x:font>
    <x:font>
      <x:sz val="11"/>
      <x:color rgb="FF087E73"/>
      <x:name val="Noto Sans CJK JP"/>
    </x:font>
    <x:font>
      <x:b/>
      <x:sz val="11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087E73"/>
      </x:patternFill>
    </x:fill>
    <x:fill>
      <x:patternFill patternType="solid">
        <x:fgColor rgb="FFE7F4EF"/>
      </x:patternFill>
    </x:fill>
  </x:fills>
  <x:borders count="1">
    <x:border/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200" fontId="4" fillId="3" borderId="0" xfId="0" applyNumberFormat="1" applyFont="1" applyFill="1" applyBorder="1"/>
    <x:xf numFmtId="201" fontId="4" fillId="3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0" fillId="2" borderId="0" xfId="0" applyNumberFormat="1" applyFont="1" applyFill="1" applyBorder="1"/>
    <x:xf numFmtId="0" fontId="5" fillId="2" borderId="0" xfId="0" applyNumberFormat="1" applyFont="1" applyFill="1" applyBorder="1"/>
    <x:xf numFmtId="200" fontId="1" fillId="0" borderId="0" xfId="0" applyNumberFormat="1" applyFont="1" applyFill="1" applyBorder="1"/>
    <x:xf numFmtId="200" fontId="0" fillId="0" borderId="0" xfId="0" applyNumberFormat="1" applyFont="1" applyFill="1" applyBorder="1"/>
    <x:xf numFmtId="202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201" fontId="1" fillId="3" borderId="0" xfId="0" applyNumberFormat="1" applyFont="1" applyFill="1" applyBorder="1"/>
    <x:xf numFmtId="203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a171313cbb413d" /><Relationship Type="http://schemas.openxmlformats.org/officeDocument/2006/relationships/theme" Target="/xl/theme/theme1.xml" Id="R3e63dcfd2e3946fe" /><Relationship Type="http://schemas.openxmlformats.org/officeDocument/2006/relationships/sharedStrings" Target="/xl/sharedStrings.xml" Id="R8a5a4ffd8df0426e" /><Relationship Type="http://schemas.openxmlformats.org/officeDocument/2006/relationships/worksheet" Target="/xl/worksheets/sheet1.xml" Id="R10325da547344ada" /><Relationship Type="http://schemas.openxmlformats.org/officeDocument/2006/relationships/worksheet" Target="/xl/worksheets/sheet2.xml" Id="Ra5d12e2585a24408" /><Relationship Type="http://schemas.openxmlformats.org/officeDocument/2006/relationships/worksheet" Target="/xl/worksheets/sheet3.xml" Id="R0d48c2824bb944a5" /><Relationship Type="http://schemas.openxmlformats.org/officeDocument/2006/relationships/worksheet" Target="/xl/worksheets/sheet4.xml" Id="Rc5c9620e6d264e9b" /><Relationship Type="http://schemas.openxmlformats.org/officeDocument/2006/relationships/worksheet" Target="/xl/worksheets/sheet5.xml" Id="R32f36b7ec18a41dc" /><Relationship Type="http://schemas.openxmlformats.org/officeDocument/2006/relationships/worksheet" Target="/xl/worksheets/sheet6.xml" Id="R061f72662419465b" /><Relationship Type="http://schemas.openxmlformats.org/officeDocument/2006/relationships/worksheet" Target="/xl/worksheets/sheet7.xml" Id="R531680ce7f87418b" /><Relationship Type="http://schemas.openxmlformats.org/officeDocument/2006/relationships/worksheet" Target="/xl/worksheets/sheet8.xml" Id="R8b0716296718442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c641a672704f4b41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050">
                <a:latin typeface="Noto Sans CJK JP"/>
                <a:ea typeface="Noto Sans CJK JP"/>
                <a:cs typeface="Noto Sans CJK JP"/>
              </a:rPr>
              <a:t>累積差額CF（円）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050">
              <a:latin typeface="Noto Sans CJK JP"/>
              <a:ea typeface="Noto Sans CJK JP"/>
              <a:cs typeface="Noto Sans CJK JP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自己所有</c:v>
          </c:tx>
          <c:spPr>
            <a:ln xmlns:a="http://schemas.openxmlformats.org/drawingml/2006/main" w="19050">
              <a:solidFill>
                <a:srgbClr val="087E73"/>
              </a:solidFill>
              <a:prstDash val="solid"/>
            </a:ln>
          </c:spPr>
          <c:marker>
            <c:symbol val="none"/>
          </c:marker>
          <c:cat>
            <c:strRef>
              <c:f>'比較サマリー'!$B$35:$B$65</c:f>
              <c:strCache>
                <c:ptCount val="0"/>
              </c:strCache>
            </c:strRef>
          </c:cat>
          <c:val>
            <c:numRef>
              <c:f>'比較サマリー'!$C$35:$C$65</c:f>
              <c:numCache>
                <c:formatCode>#,##0;(#,##0);"–"</c:formatCode>
                <c:ptCount val="0"/>
              </c:numCache>
            </c:numRef>
          </c:val>
          <c:smooth val="0"/>
        </c:ser>
        <c:ser>
          <c:idx val="1"/>
          <c:order val="1"/>
          <c:tx>
            <c:v>PPA</c:v>
          </c:tx>
          <c:spPr>
            <a:ln xmlns:a="http://schemas.openxmlformats.org/drawingml/2006/main" w="19050">
              <a:solidFill>
                <a:srgbClr val="364640"/>
              </a:solidFill>
              <a:prstDash val="dash"/>
            </a:ln>
          </c:spPr>
          <c:marker>
            <c:symbol val="none"/>
          </c:marker>
          <c:cat>
            <c:strRef>
              <c:f>'比較サマリー'!$B$35:$B$65</c:f>
              <c:strCache>
                <c:ptCount val="0"/>
              </c:strCache>
            </c:strRef>
          </c:cat>
          <c:val>
            <c:numRef>
              <c:f>'比較サマリー'!$D$35:$D$65</c:f>
              <c:numCache>
                <c:formatCode>#,##0;(#,##0);"–"</c:formatCode>
                <c:ptCount val="0"/>
              </c:numCache>
            </c:numRef>
          </c:val>
          <c:smooth val="0"/>
        </c:ser>
        <c:ser>
          <c:idx val="2"/>
          <c:order val="2"/>
          <c:tx>
            <c:v>リース</c:v>
          </c:tx>
          <c:spPr>
            <a:ln xmlns:a="http://schemas.openxmlformats.org/drawingml/2006/main" w="19050">
              <a:solidFill>
                <a:srgbClr val="9BA7A2"/>
              </a:solidFill>
              <a:prstDash val="solid"/>
            </a:ln>
          </c:spPr>
          <c:marker>
            <c:symbol val="none"/>
          </c:marker>
          <c:cat>
            <c:strRef>
              <c:f>'比較サマリー'!$B$35:$B$65</c:f>
              <c:strCache>
                <c:ptCount val="0"/>
              </c:strCache>
            </c:strRef>
          </c:cat>
          <c:val>
            <c:numRef>
              <c:f>'比較サマリー'!$E$35:$E$65</c:f>
              <c:numCache>
                <c:formatCode>#,##0;(#,##0);"–"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Noto Sans CJK JP"/>
                <a:ea typeface="Noto Sans CJK JP"/>
                <a:cs typeface="Noto Sans CJK JP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,,&quot;百万円&quot;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Noto Sans CJK JP"/>
                <a:ea typeface="Noto Sans CJK JP"/>
                <a:cs typeface="Noto Sans CJK JP"/>
              </a:defRPr>
            </a:pPr>
          </a:p>
        </c:txPr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1</xdr:col>
      <xdr:colOff>0</xdr:colOff>
      <xdr:row>16</xdr:row>
      <xdr:rowOff>0</xdr:rowOff>
    </xdr:from>
    <xdr:to>
      <xdr:col>9</xdr:col>
      <xdr:colOff>0</xdr:colOff>
      <xdr:row>32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641a672704f4b4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63261ad1b14041c9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" hidden="0" customWidth="1"/>
    <x:col min="2" max="2" width="33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 ht="24" customHeight="1">
      <x:c r="A2" s="1"/>
      <x:c r="B2" s="2" t="str">
        <x:v>自己所有・PPA・リースの比較</x:v>
      </x:c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 ht="24" customHeight="1">
      <x:c r="A3" s="1"/>
      <x:c r="B3" s="1" t="str">
        <x:v>入力条件を編集すると年次CFと比較結果が更新されます。</x:v>
      </x:c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 ht="24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</x:row>
    <x:row r="5" ht="30" customHeight="1">
      <x:c r="A5" s="1"/>
      <x:c r="B5" s="4" t="str">
        <x:v>指標</x:v>
      </x:c>
      <x:c r="C5" s="4" t="str">
        <x:v>自己所有</x:v>
      </x:c>
      <x:c r="D5" s="4" t="str">
        <x:v>PPA</x:v>
      </x:c>
      <x:c r="E5" s="4" t="str">
        <x:v>リース</x:v>
      </x:c>
      <x:c r="F5" s="1"/>
      <x:c r="G5" s="1"/>
      <x:c r="H5" s="1"/>
      <x:c r="I5" s="1"/>
      <x:c r="J5" s="1"/>
      <x:c r="K5" s="1"/>
      <x:c r="L5" s="1"/>
    </x:row>
    <x:row r="6" ht="24" customHeight="1">
      <x:c r="A6" s="1"/>
      <x:c r="B6" s="1" t="str">
        <x:v>評価年数</x:v>
      </x:c>
      <x:c r="C6" s="1" t="n">
        <x:f>'入力条件'!C12</x:f>
        <x:v>20</x:v>
      </x:c>
      <x:c r="D6" s="1" t="n">
        <x:f>'入力条件'!C12</x:f>
        <x:v>20</x:v>
      </x:c>
      <x:c r="E6" s="1" t="n">
        <x:f>'入力条件'!C12</x:f>
        <x:v>20</x:v>
      </x:c>
      <x:c r="F6" s="1"/>
      <x:c r="G6" s="1"/>
      <x:c r="H6" s="1"/>
      <x:c r="I6" s="1"/>
      <x:c r="J6" s="1"/>
      <x:c r="K6" s="1"/>
      <x:c r="L6" s="1"/>
    </x:row>
    <x:row r="7" ht="24" customHeight="1">
      <x:c r="A7" s="1"/>
      <x:c r="B7" s="1" t="str">
        <x:v>初年度差額CF（円）</x:v>
      </x:c>
      <x:c r="C7" s="12" t="n">
        <x:f>'年次CF'!F7</x:f>
        <x:v>4375000</x:v>
      </x:c>
      <x:c r="D7" s="12" t="n">
        <x:f>'年次CF'!G7</x:f>
        <x:v>1309000</x:v>
      </x:c>
      <x:c r="E7" s="12" t="n">
        <x:f>'年次CF'!H7</x:f>
        <x:v>2875000</x:v>
      </x:c>
      <x:c r="F7" s="1"/>
      <x:c r="G7" s="1"/>
      <x:c r="H7" s="1"/>
      <x:c r="I7" s="1"/>
      <x:c r="J7" s="1"/>
      <x:c r="K7" s="1"/>
      <x:c r="L7" s="1"/>
    </x:row>
    <x:row r="8" ht="24" customHeight="1">
      <x:c r="A8" s="1"/>
      <x:c r="B8" s="1" t="str">
        <x:v>累積差額CF（円）</x:v>
      </x:c>
      <x:c r="C8" s="12" t="n">
        <x:f>IF('入力条件'!C31&lt;&gt;"計算可","入力確認",SUM('年次CF'!F6:F36))</x:f>
        <x:v>50189200.943232514</x:v>
      </x:c>
      <x:c r="D8" s="12" t="n">
        <x:f>IF('入力条件'!C31&lt;&gt;"計算可","入力確認",SUM('年次CF'!G6:G36))</x:f>
        <x:v>24972976.264105108</x:v>
      </x:c>
      <x:c r="E8" s="12" t="n">
        <x:f>IF('入力条件'!C31&lt;&gt;"計算可","入力確認",SUM('年次CF'!H6:H36))</x:f>
        <x:v>53189200.943232514</x:v>
      </x:c>
      <x:c r="F8" s="1"/>
      <x:c r="G8" s="1"/>
      <x:c r="H8" s="1"/>
      <x:c r="I8" s="1"/>
      <x:c r="J8" s="1"/>
      <x:c r="K8" s="1"/>
      <x:c r="L8" s="1"/>
    </x:row>
    <x:row r="9" ht="24" customHeight="1">
      <x:c r="A9" s="1"/>
      <x:c r="B9" s="1" t="str">
        <x:v>NPV（円）</x:v>
      </x:c>
      <x:c r="C9" s="12" t="n">
        <x:f>IF('入力条件'!C31&lt;&gt;"計算可","入力確認",SUM('年次CF'!L6:L36))</x:f>
        <x:v>30251046.017762166</x:v>
      </x:c>
      <x:c r="D9" s="12" t="n">
        <x:f>IF('入力条件'!C31&lt;&gt;"計算可","入力確認",SUM('年次CF'!M6:M36))</x:f>
        <x:v>18667802.71733191</x:v>
      </x:c>
      <x:c r="E9" s="12" t="n">
        <x:f>IF('入力条件'!C31&lt;&gt;"計算可","入力確認",SUM('年次CF'!N6:N36))</x:f>
        <x:v>39891269.24165119</x:v>
      </x:c>
      <x:c r="F9" s="1"/>
      <x:c r="G9" s="1"/>
      <x:c r="H9" s="1"/>
      <x:c r="I9" s="1"/>
      <x:c r="J9" s="1"/>
      <x:c r="K9" s="1"/>
      <x:c r="L9" s="1"/>
    </x:row>
    <x:row r="10" ht="24" customHeight="1">
      <x:c r="A10" s="1"/>
      <x:c r="B10" s="1" t="str">
        <x:v>初期純投資（円）</x:v>
      </x:c>
      <x:c r="C10" s="12" t="n">
        <x:f>IF('入力条件'!C31&lt;&gt;"計算可","入力確認",-'年次CF'!F6)</x:f>
        <x:v>30000000</x:v>
      </x:c>
      <x:c r="D10" s="12" t="n">
        <x:f>IF('入力条件'!C31&lt;&gt;"計算可","入力確認",-'年次CF'!G6)</x:f>
        <x:v>0</x:v>
      </x:c>
      <x:c r="E10" s="12" t="n">
        <x:f>IF('入力条件'!C31&lt;&gt;"計算可","入力確認",-'年次CF'!H6)</x:f>
        <x:v>0</x:v>
      </x:c>
      <x:c r="F10" s="1"/>
      <x:c r="G10" s="1"/>
      <x:c r="H10" s="1"/>
      <x:c r="I10" s="1"/>
      <x:c r="J10" s="1"/>
      <x:c r="K10" s="1"/>
      <x:c r="L10" s="1"/>
    </x:row>
    <x:row r="11" ht="24" customHeight="1">
      <x:c r="A11" s="1"/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</x:row>
    <x:row r="12" ht="24" customHeight="1">
      <x:c r="A12" s="1"/>
      <x:c r="B12" s="1" t="str">
        <x:v>採算・資金制約・保守・契約柔軟性を併せて判断します。</x:v>
      </x:c>
      <x:c r="C12" s="1"/>
      <x:c r="D12" s="1"/>
      <x:c r="E12" s="1"/>
      <x:c r="F12" s="1"/>
      <x:c r="G12" s="1"/>
      <x:c r="H12" s="1"/>
      <x:c r="I12" s="1"/>
      <x:c r="J12" s="1"/>
      <x:c r="K12" s="1"/>
      <x:c r="L12" s="1"/>
    </x:row>
    <x:row r="13" ht="24" customHeight="1">
      <x:c r="A13" s="1"/>
      <x:c r="B13" s="1" t="str">
        <x:v>BCP・炭素評価・基本料金削減は、PV比較へ自動加算していません。</x:v>
      </x:c>
      <x:c r="C13" s="1"/>
      <x:c r="D13" s="1"/>
      <x:c r="E13" s="1"/>
      <x:c r="F13" s="1"/>
      <x:c r="G13" s="1"/>
      <x:c r="H13" s="1"/>
      <x:c r="I13" s="1"/>
      <x:c r="J13" s="1"/>
      <x:c r="K13" s="1"/>
      <x:c r="L13" s="1"/>
    </x:row>
    <x:row r="14" ht="24" customHeight="1">
      <x:c r="A14" s="1"/>
      <x:c r="B14" s="1" t="str">
        <x:v>初期費用ゼロの方式でも、固定支払・最低購入・解約条件を確認します。</x:v>
      </x:c>
      <x:c r="C14" s="1"/>
      <x:c r="D14" s="1"/>
      <x:c r="E14" s="1"/>
      <x:c r="F14" s="1"/>
      <x:c r="G14" s="1"/>
      <x:c r="H14" s="1"/>
      <x:c r="I14" s="1"/>
      <x:c r="J14" s="1"/>
      <x:c r="K14" s="1"/>
      <x:c r="L14" s="1"/>
    </x:row>
    <x:row r="15" ht="24" customHeight="1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</x:row>
    <x:row r="16" ht="24" customHeight="1">
      <x:c r="A16" s="1"/>
      <x:c r="B16" s="1" t="str">
        <x:v>累積差額キャッシュフロー（円）</x:v>
      </x:c>
      <x:c r="C16" s="1"/>
      <x:c r="D16" s="1"/>
      <x:c r="E16" s="1"/>
      <x:c r="F16" s="1"/>
      <x:c r="G16" s="1"/>
      <x:c r="H16" s="1"/>
      <x:c r="I16" s="1"/>
      <x:c r="J16" s="1"/>
      <x:c r="K16" s="1"/>
      <x:c r="L16" s="1"/>
    </x:row>
    <x:row r="17" ht="24" customHeight="1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</x:row>
    <x:row r="18" ht="24" customHeight="1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</x:row>
    <x:row r="19" ht="24" customHeight="1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</x:row>
    <x:row r="20" ht="24" customHeight="1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</x:row>
    <x:row r="21" ht="24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</x:row>
    <x:row r="22" ht="24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</x:row>
    <x:row r="23" ht="24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</x:row>
    <x:row r="25" ht="24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</x:row>
    <x:row r="26" ht="24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</x:row>
    <x:row r="27" ht="24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</x:row>
    <x:row r="28" ht="24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</x:row>
    <x:row r="29" ht="24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</x:row>
    <x:row r="30" ht="24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</x:row>
    <x:row r="31" ht="24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</x:row>
    <x:row r="32" ht="24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</x:row>
    <x:row r="33" ht="24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</x:row>
    <x:row r="34" ht="30" customHeight="1">
      <x:c r="A34" s="1"/>
      <x:c r="B34" s="4" t="str">
        <x:v>年</x:v>
      </x:c>
      <x:c r="C34" s="4" t="str">
        <x:v>自己所有</x:v>
      </x:c>
      <x:c r="D34" s="4" t="str">
        <x:v>PPA</x:v>
      </x:c>
      <x:c r="E34" s="4" t="str">
        <x:v>リース</x:v>
      </x:c>
      <x:c r="F34" s="1"/>
      <x:c r="G34" s="1"/>
      <x:c r="H34" s="1"/>
      <x:c r="I34" s="1"/>
      <x:c r="J34" s="1"/>
      <x:c r="K34" s="1"/>
      <x:c r="L34" s="1"/>
    </x:row>
    <x:row r="35" ht="24" customHeight="1">
      <x:c r="A35" s="1"/>
      <x:c r="B35" s="1" t="n">
        <x:f>'年次CF'!B6</x:f>
        <x:v>0</x:v>
      </x:c>
      <x:c r="C35" s="12" t="n">
        <x:f>'年次CF'!I6</x:f>
        <x:v>-30000000</x:v>
      </x:c>
      <x:c r="D35" s="12" t="n">
        <x:f>'年次CF'!J6</x:f>
        <x:v>0</x:v>
      </x:c>
      <x:c r="E35" s="12" t="n">
        <x:f>'年次CF'!K6</x:f>
        <x:v>0</x:v>
      </x:c>
      <x:c r="F35" s="1"/>
      <x:c r="G35" s="1"/>
      <x:c r="H35" s="1"/>
      <x:c r="I35" s="1"/>
      <x:c r="J35" s="1"/>
      <x:c r="K35" s="1"/>
      <x:c r="L35" s="1"/>
    </x:row>
    <x:row r="36" ht="24" customHeight="1">
      <x:c r="A36" s="1"/>
      <x:c r="B36" s="1" t="n">
        <x:f>IF('年次CF'!B7="","",'年次CF'!B7)</x:f>
        <x:v>1</x:v>
      </x:c>
      <x:c r="C36" s="12" t="n">
        <x:f>IF('年次CF'!B7="","",'年次CF'!I7)</x:f>
        <x:v>-25625000</x:v>
      </x:c>
      <x:c r="D36" s="12" t="n">
        <x:f>IF('年次CF'!B7="","",'年次CF'!J7)</x:f>
        <x:v>1309000</x:v>
      </x:c>
      <x:c r="E36" s="12" t="n">
        <x:f>IF('年次CF'!B7="","",'年次CF'!K7)</x:f>
        <x:v>2875000</x:v>
      </x:c>
      <x:c r="F36" s="1"/>
      <x:c r="G36" s="1"/>
      <x:c r="H36" s="1"/>
      <x:c r="I36" s="1"/>
      <x:c r="J36" s="1"/>
      <x:c r="K36" s="1"/>
      <x:c r="L36" s="1"/>
    </x:row>
    <x:row r="37" ht="24" customHeight="1">
      <x:c r="A37" s="1"/>
      <x:c r="B37" s="1" t="n">
        <x:f>IF('年次CF'!B8="","",'年次CF'!B8)</x:f>
        <x:v>2</x:v>
      </x:c>
      <x:c r="C37" s="12" t="n">
        <x:f>IF('年次CF'!B8="","",'年次CF'!I8)</x:f>
        <x:v>-21273375</x:v>
      </x:c>
      <x:c r="D37" s="12" t="n">
        <x:f>IF('年次CF'!B8="","",'年次CF'!J8)</x:f>
        <x:v>2611455</x:v>
      </x:c>
      <x:c r="E37" s="12" t="n">
        <x:f>IF('年次CF'!B8="","",'年次CF'!K8)</x:f>
        <x:v>5726625</x:v>
      </x:c>
      <x:c r="F37" s="1"/>
      <x:c r="G37" s="1"/>
      <x:c r="H37" s="1"/>
      <x:c r="I37" s="1"/>
      <x:c r="J37" s="1"/>
      <x:c r="K37" s="1"/>
      <x:c r="L37" s="1"/>
    </x:row>
    <x:row r="38" ht="24" customHeight="1">
      <x:c r="A38" s="1"/>
      <x:c r="B38" s="1" t="n">
        <x:f>IF('年次CF'!B9="","",'年次CF'!B9)</x:f>
        <x:v>3</x:v>
      </x:c>
      <x:c r="C38" s="12" t="n">
        <x:f>IF('年次CF'!B9="","",'年次CF'!I9)</x:f>
        <x:v>-16945008.125</x:v>
      </x:c>
      <x:c r="D38" s="12" t="n">
        <x:f>IF('年次CF'!B9="","",'年次CF'!J9)</x:f>
        <x:v>3907397.725</x:v>
      </x:c>
      <x:c r="E38" s="12" t="n">
        <x:f>IF('年次CF'!B9="","",'年次CF'!K9)</x:f>
        <x:v>8554991.875</x:v>
      </x:c>
      <x:c r="F38" s="1"/>
      <x:c r="G38" s="1"/>
      <x:c r="H38" s="1"/>
      <x:c r="I38" s="1"/>
      <x:c r="J38" s="1"/>
      <x:c r="K38" s="1"/>
      <x:c r="L38" s="1"/>
    </x:row>
    <x:row r="39" ht="24" customHeight="1">
      <x:c r="A39" s="1"/>
      <x:c r="B39" s="1" t="n">
        <x:f>IF('年次CF'!B10="","",'年次CF'!B10)</x:f>
        <x:v>4</x:v>
      </x:c>
      <x:c r="C39" s="12" t="n">
        <x:f>IF('年次CF'!B10="","",'年次CF'!I10)</x:f>
        <x:v>-12639783.084375</x:v>
      </x:c>
      <x:c r="D39" s="12" t="n">
        <x:f>IF('年次CF'!B10="","",'年次CF'!J10)</x:f>
        <x:v>5196860.736375</x:v>
      </x:c>
      <x:c r="E39" s="12" t="n">
        <x:f>IF('年次CF'!B10="","",'年次CF'!K10)</x:f>
        <x:v>11360216.915625</x:v>
      </x:c>
      <x:c r="F39" s="1"/>
      <x:c r="G39" s="1"/>
      <x:c r="H39" s="1"/>
      <x:c r="I39" s="1"/>
      <x:c r="J39" s="1"/>
      <x:c r="K39" s="1"/>
      <x:c r="L39" s="1"/>
    </x:row>
    <x:row r="40" ht="24" customHeight="1">
      <x:c r="A40" s="1"/>
      <x:c r="B40" s="1" t="n">
        <x:f>IF('年次CF'!B11="","",'年次CF'!B11)</x:f>
        <x:v>5</x:v>
      </x:c>
      <x:c r="C40" s="12" t="n">
        <x:f>IF('年次CF'!B11="","",'年次CF'!I11)</x:f>
        <x:v>-8357584.168953125</x:v>
      </x:c>
      <x:c r="D40" s="12" t="n">
        <x:f>IF('年次CF'!B11="","",'年次CF'!J11)</x:f>
        <x:v>6479876.432693125</x:v>
      </x:c>
      <x:c r="E40" s="12" t="n">
        <x:f>IF('年次CF'!B11="","",'年次CF'!K11)</x:f>
        <x:v>14142415.831046876</x:v>
      </x:c>
      <x:c r="F40" s="1"/>
      <x:c r="G40" s="1"/>
      <x:c r="H40" s="1"/>
      <x:c r="I40" s="1"/>
      <x:c r="J40" s="1"/>
      <x:c r="K40" s="1"/>
      <x:c r="L40" s="1"/>
    </x:row>
    <x:row r="41" ht="24" customHeight="1">
      <x:c r="A41" s="1"/>
      <x:c r="B41" s="1" t="n">
        <x:f>IF('年次CF'!B12="","",'年次CF'!B12)</x:f>
        <x:v>6</x:v>
      </x:c>
      <x:c r="C41" s="12" t="n">
        <x:f>IF('年次CF'!B12="","",'年次CF'!I12)</x:f>
        <x:v>-4098296.24810836</x:v>
      </x:c>
      <x:c r="D41" s="12" t="n">
        <x:f>IF('年次CF'!B12="","",'年次CF'!J12)</x:f>
        <x:v>7756477.050529659</x:v>
      </x:c>
      <x:c r="E41" s="12" t="n">
        <x:f>IF('年次CF'!B12="","",'年次CF'!K12)</x:f>
        <x:v>16901703.751891643</x:v>
      </x:c>
      <x:c r="F41" s="1"/>
      <x:c r="G41" s="1"/>
      <x:c r="H41" s="1"/>
      <x:c r="I41" s="1"/>
      <x:c r="J41" s="1"/>
      <x:c r="K41" s="1"/>
      <x:c r="L41" s="1"/>
    </x:row>
    <x:row r="42" ht="24" customHeight="1">
      <x:c r="A42" s="1"/>
      <x:c r="B42" s="1" t="n">
        <x:f>IF('年次CF'!B13="","",'年次CF'!B13)</x:f>
        <x:v>7</x:v>
      </x:c>
      <x:c r="C42" s="12" t="n">
        <x:f>IF('年次CF'!B13="","",'年次CF'!I13)</x:f>
        <x:v>138195.2331321817</x:v>
      </x:c>
      <x:c r="D42" s="12" t="n">
        <x:f>IF('年次CF'!B13="","",'年次CF'!J13)</x:f>
        <x:v>9026694.66527701</x:v>
      </x:c>
      <x:c r="E42" s="12" t="n">
        <x:f>IF('年次CF'!B13="","",'年次CF'!K13)</x:f>
        <x:v>19638195.233132184</x:v>
      </x:c>
      <x:c r="F42" s="1"/>
      <x:c r="G42" s="1"/>
      <x:c r="H42" s="1"/>
      <x:c r="I42" s="1"/>
      <x:c r="J42" s="1"/>
      <x:c r="K42" s="1"/>
      <x:c r="L42" s="1"/>
    </x:row>
    <x:row r="43" ht="24" customHeight="1">
      <x:c r="A43" s="1"/>
      <x:c r="B43" s="1" t="n">
        <x:f>IF('年次CF'!B14="","",'年次CF'!B14)</x:f>
        <x:v>8</x:v>
      </x:c>
      <x:c r="C43" s="12" t="n">
        <x:f>IF('年次CF'!B14="","",'年次CF'!I14)</x:f>
        <x:v>4352004.25696652</x:v>
      </x:c>
      <x:c r="D43" s="12" t="n">
        <x:f>IF('年次CF'!B14="","",'年次CF'!J14)</x:f>
        <x:v>10290561.191950625</x:v>
      </x:c>
      <x:c r="E43" s="12" t="n">
        <x:f>IF('年次CF'!B14="","",'年次CF'!K14)</x:f>
        <x:v>22352004.256966524</x:v>
      </x:c>
      <x:c r="F43" s="1"/>
      <x:c r="G43" s="1"/>
      <x:c r="H43" s="1"/>
      <x:c r="I43" s="1"/>
      <x:c r="J43" s="1"/>
      <x:c r="K43" s="1"/>
      <x:c r="L43" s="1"/>
    </x:row>
    <x:row r="44" ht="24" customHeight="1">
      <x:c r="A44" s="1"/>
      <x:c r="B44" s="1" t="n">
        <x:f>IF('年次CF'!B15="","",'年次CF'!B15)</x:f>
        <x:v>9</x:v>
      </x:c>
      <x:c r="C44" s="12" t="n">
        <x:f>IF('年次CF'!B15="","",'年次CF'!I15)</x:f>
        <x:v>8543244.235681687</x:v>
      </x:c>
      <x:c r="D44" s="12" t="n">
        <x:f>IF('年次CF'!B15="","",'年次CF'!J15)</x:f>
        <x:v>11548108.385990873</x:v>
      </x:c>
      <x:c r="E44" s="12" t="n">
        <x:f>IF('年次CF'!B15="","",'年次CF'!K15)</x:f>
        <x:v>25043244.23568169</x:v>
      </x:c>
      <x:c r="F44" s="1"/>
      <x:c r="G44" s="1"/>
      <x:c r="H44" s="1"/>
      <x:c r="I44" s="1"/>
      <x:c r="J44" s="1"/>
      <x:c r="K44" s="1"/>
      <x:c r="L44" s="1"/>
    </x:row>
    <x:row r="45" ht="24" customHeight="1">
      <x:c r="A45" s="1"/>
      <x:c r="B45" s="1" t="n">
        <x:f>IF('年次CF'!B16="","",'年次CF'!B16)</x:f>
        <x:v>10</x:v>
      </x:c>
      <x:c r="C45" s="12" t="n">
        <x:f>IF('年次CF'!B16="","",'年次CF'!I16)</x:f>
        <x:v>12712028.014503278</x:v>
      </x:c>
      <x:c r="D45" s="12" t="n">
        <x:f>IF('年次CF'!B16="","",'年次CF'!J16)</x:f>
        <x:v>12799367.844060918</x:v>
      </x:c>
      <x:c r="E45" s="12" t="n">
        <x:f>IF('年次CF'!B16="","",'年次CF'!K16)</x:f>
        <x:v>27712028.01450328</x:v>
      </x:c>
      <x:c r="F45" s="1"/>
      <x:c r="G45" s="1"/>
      <x:c r="H45" s="1"/>
      <x:c r="I45" s="1"/>
      <x:c r="J45" s="1"/>
      <x:c r="K45" s="1"/>
      <x:c r="L45" s="1"/>
    </x:row>
    <x:row r="46" ht="24" customHeight="1">
      <x:c r="A46" s="1"/>
      <x:c r="B46" s="1" t="n">
        <x:f>IF('年次CF'!B17="","",'年次CF'!B17)</x:f>
        <x:v>11</x:v>
      </x:c>
      <x:c r="C46" s="12" t="n">
        <x:f>IF('年次CF'!B17="","",'年次CF'!I17)</x:f>
        <x:v>16858467.87443076</x:v>
      </x:c>
      <x:c r="D46" s="12" t="n">
        <x:f>IF('年次CF'!B17="","",'年次CF'!J17)</x:f>
        <x:v>14044371.004840614</x:v>
      </x:c>
      <x:c r="E46" s="12" t="n">
        <x:f>IF('年次CF'!B17="","",'年次CF'!K17)</x:f>
        <x:v>30358467.874430764</x:v>
      </x:c>
      <x:c r="F46" s="1"/>
      <x:c r="G46" s="1"/>
      <x:c r="H46" s="1"/>
      <x:c r="I46" s="1"/>
      <x:c r="J46" s="1"/>
      <x:c r="K46" s="1"/>
      <x:c r="L46" s="1"/>
    </x:row>
    <x:row r="47" ht="24" customHeight="1">
      <x:c r="A47" s="1"/>
      <x:c r="B47" s="1" t="n">
        <x:f>IF('年次CF'!B18="","",'年次CF'!B18)</x:f>
        <x:v>12</x:v>
      </x:c>
      <x:c r="C47" s="12" t="n">
        <x:f>IF('年次CF'!B18="","",'年次CF'!I18)</x:f>
        <x:v>18982675.535058606</x:v>
      </x:c>
      <x:c r="D47" s="12" t="n">
        <x:f>IF('年次CF'!B18="","",'年次CF'!J18)</x:f>
        <x:v>15283149.149816412</x:v>
      </x:c>
      <x:c r="E47" s="12" t="n">
        <x:f>IF('年次CF'!B18="","",'年次CF'!K18)</x:f>
        <x:v>32982675.53505861</x:v>
      </x:c>
      <x:c r="F47" s="1"/>
      <x:c r="G47" s="1"/>
      <x:c r="H47" s="1"/>
      <x:c r="I47" s="1"/>
      <x:c r="J47" s="1"/>
      <x:c r="K47" s="1"/>
      <x:c r="L47" s="1"/>
    </x:row>
    <x:row r="48" ht="24" customHeight="1">
      <x:c r="A48" s="1"/>
      <x:c r="B48" s="1" t="n">
        <x:f>IF('年次CF'!B19="","",'年次CF'!B19)</x:f>
        <x:v>13</x:v>
      </x:c>
      <x:c r="C48" s="12" t="n">
        <x:f>IF('年次CF'!B19="","",'年次CF'!I19)</x:f>
        <x:v>23084762.157383315</x:v>
      </x:c>
      <x:c r="D48" s="12" t="n">
        <x:f>IF('年次CF'!B19="","",'年次CF'!J19)</x:f>
        <x:v>16515733.40406733</x:v>
      </x:c>
      <x:c r="E48" s="12" t="n">
        <x:f>IF('年次CF'!B19="","",'年次CF'!K19)</x:f>
        <x:v>35584762.157383315</x:v>
      </x:c>
      <x:c r="F48" s="1"/>
      <x:c r="G48" s="1"/>
      <x:c r="H48" s="1"/>
      <x:c r="I48" s="1"/>
      <x:c r="J48" s="1"/>
      <x:c r="K48" s="1"/>
      <x:c r="L48" s="1"/>
    </x:row>
    <x:row r="49" ht="24" customHeight="1">
      <x:c r="A49" s="1"/>
      <x:c r="B49" s="1" t="n">
        <x:f>IF('年次CF'!B20="","",'年次CF'!B20)</x:f>
        <x:v>14</x:v>
      </x:c>
      <x:c r="C49" s="12" t="n">
        <x:f>IF('年次CF'!B20="","",'年次CF'!I20)</x:f>
        <x:v>27164838.346596397</x:v>
      </x:c>
      <x:c r="D49" s="12" t="n">
        <x:f>IF('年次CF'!B20="","",'年次CF'!J20)</x:f>
        <x:v>17742154.737046994</x:v>
      </x:c>
      <x:c r="E49" s="12" t="n">
        <x:f>IF('年次CF'!B20="","",'年次CF'!K20)</x:f>
        <x:v>38164838.3465964</x:v>
      </x:c>
      <x:c r="F49" s="1"/>
      <x:c r="G49" s="1"/>
      <x:c r="H49" s="1"/>
      <x:c r="I49" s="1"/>
      <x:c r="J49" s="1"/>
      <x:c r="K49" s="1"/>
      <x:c r="L49" s="1"/>
    </x:row>
    <x:row r="50" ht="24" customHeight="1">
      <x:c r="A50" s="1"/>
      <x:c r="B50" s="1" t="n">
        <x:f>IF('年次CF'!B21="","",'年次CF'!B21)</x:f>
        <x:v>15</x:v>
      </x:c>
      <x:c r="C50" s="12" t="n">
        <x:f>IF('年次CF'!B21="","",'年次CF'!I21)</x:f>
        <x:v>31223014.154863417</x:v>
      </x:c>
      <x:c r="D50" s="12" t="n">
        <x:f>IF('年次CF'!B21="","",'年次CF'!J21)</x:f>
        <x:v>18962443.96336176</x:v>
      </x:c>
      <x:c r="E50" s="12" t="n">
        <x:f>IF('年次CF'!B21="","",'年次CF'!K21)</x:f>
        <x:v>40723014.15486342</x:v>
      </x:c>
      <x:c r="F50" s="1"/>
      <x:c r="G50" s="1"/>
      <x:c r="H50" s="1"/>
      <x:c r="I50" s="1"/>
      <x:c r="J50" s="1"/>
      <x:c r="K50" s="1"/>
      <x:c r="L50" s="1"/>
    </x:row>
    <x:row r="51" ht="24" customHeight="1">
      <x:c r="A51" s="1"/>
      <x:c r="B51" s="1" t="n">
        <x:f>IF('年次CF'!B22="","",'年次CF'!B22)</x:f>
        <x:v>16</x:v>
      </x:c>
      <x:c r="C51" s="12" t="n">
        <x:f>IF('年次CF'!B22="","",'年次CF'!I22)</x:f>
        <x:v>35259399.0840891</x:v>
      </x:c>
      <x:c r="D51" s="12" t="n">
        <x:f>IF('年次CF'!B22="","",'年次CF'!J22)</x:f>
        <x:v>20176631.74354495</x:v>
      </x:c>
      <x:c r="E51" s="12" t="n">
        <x:f>IF('年次CF'!B22="","",'年次CF'!K22)</x:f>
        <x:v>43259399.0840891</x:v>
      </x:c>
      <x:c r="F51" s="1"/>
      <x:c r="G51" s="1"/>
      <x:c r="H51" s="1"/>
      <x:c r="I51" s="1"/>
      <x:c r="J51" s="1"/>
      <x:c r="K51" s="1"/>
      <x:c r="L51" s="1"/>
    </x:row>
    <x:row r="52" ht="24" customHeight="1">
      <x:c r="A52" s="1"/>
      <x:c r="B52" s="1" t="n">
        <x:f>IF('年次CF'!B23="","",'年次CF'!B23)</x:f>
        <x:v>17</x:v>
      </x:c>
      <x:c r="C52" s="12" t="n">
        <x:f>IF('年次CF'!B23="","",'年次CF'!I23)</x:f>
        <x:v>39274102.08866865</x:v>
      </x:c>
      <x:c r="D52" s="12" t="n">
        <x:f>IF('年次CF'!B23="","",'年次CF'!J23)</x:f>
        <x:v>21384748.584827226</x:v>
      </x:c>
      <x:c r="E52" s="12" t="n">
        <x:f>IF('年次CF'!B23="","",'年次CF'!K23)</x:f>
        <x:v>45774102.08866865</x:v>
      </x:c>
      <x:c r="F52" s="1"/>
      <x:c r="G52" s="1"/>
      <x:c r="H52" s="1"/>
      <x:c r="I52" s="1"/>
      <x:c r="J52" s="1"/>
      <x:c r="K52" s="1"/>
      <x:c r="L52" s="1"/>
    </x:row>
    <x:row r="53" ht="24" customHeight="1">
      <x:c r="A53" s="1"/>
      <x:c r="B53" s="1" t="n">
        <x:f>IF('年次CF'!B24="","",'年次CF'!B24)</x:f>
        <x:v>18</x:v>
      </x:c>
      <x:c r="C53" s="12" t="n">
        <x:f>IF('年次CF'!B24="","",'年次CF'!I24)</x:f>
        <x:v>43267231.57822531</x:v>
      </x:c>
      <x:c r="D53" s="12" t="n">
        <x:f>IF('年次CF'!B24="","",'年次CF'!J24)</x:f>
        <x:v>22586824.84190309</x:v>
      </x:c>
      <x:c r="E53" s="12" t="n">
        <x:f>IF('年次CF'!B24="","",'年次CF'!K24)</x:f>
        <x:v>48267231.57822531</x:v>
      </x:c>
      <x:c r="F53" s="1"/>
      <x:c r="G53" s="1"/>
      <x:c r="H53" s="1"/>
      <x:c r="I53" s="1"/>
      <x:c r="J53" s="1"/>
      <x:c r="K53" s="1"/>
      <x:c r="L53" s="1"/>
    </x:row>
    <x:row r="54" ht="24" customHeight="1">
      <x:c r="A54" s="1"/>
      <x:c r="B54" s="1" t="n">
        <x:f>IF('年次CF'!B25="","",'年次CF'!B25)</x:f>
        <x:v>19</x:v>
      </x:c>
      <x:c r="C54" s="12" t="n">
        <x:f>IF('年次CF'!B25="","",'年次CF'!I25)</x:f>
        <x:v>47238895.42033418</x:v>
      </x:c>
      <x:c r="D54" s="12" t="n">
        <x:f>IF('年次CF'!B25="","",'年次CF'!J25)</x:f>
        <x:v>23782890.717693575</x:v>
      </x:c>
      <x:c r="E54" s="12" t="n">
        <x:f>IF('年次CF'!B25="","",'年次CF'!K25)</x:f>
        <x:v>50738895.42033418</x:v>
      </x:c>
      <x:c r="F54" s="1"/>
      <x:c r="G54" s="1"/>
      <x:c r="H54" s="1"/>
      <x:c r="I54" s="1"/>
      <x:c r="J54" s="1"/>
      <x:c r="K54" s="1"/>
      <x:c r="L54" s="1"/>
    </x:row>
    <x:row r="55" ht="24" customHeight="1">
      <x:c r="A55" s="1"/>
      <x:c r="B55" s="1" t="n">
        <x:f>IF('年次CF'!B26="","",'年次CF'!B26)</x:f>
        <x:v>20</x:v>
      </x:c>
      <x:c r="C55" s="12" t="n">
        <x:f>IF('年次CF'!B26="","",'年次CF'!I26)</x:f>
        <x:v>50189200.943232514</x:v>
      </x:c>
      <x:c r="D55" s="12" t="n">
        <x:f>IF('年次CF'!B26="","",'年次CF'!J26)</x:f>
        <x:v>24972976.264105108</x:v>
      </x:c>
      <x:c r="E55" s="12" t="n">
        <x:f>IF('年次CF'!B26="","",'年次CF'!K26)</x:f>
        <x:v>53189200.943232514</x:v>
      </x:c>
      <x:c r="F55" s="1"/>
      <x:c r="G55" s="1"/>
      <x:c r="H55" s="1"/>
      <x:c r="I55" s="1"/>
      <x:c r="J55" s="1"/>
      <x:c r="K55" s="1"/>
      <x:c r="L55" s="1"/>
    </x:row>
    <x:row r="56" ht="24" customHeight="1">
      <x:c r="A56" s="1"/>
      <x:c r="B56" s="1" t="str">
        <x:f>IF('年次CF'!B27="","",'年次CF'!B27)</x:f>
      </x:c>
      <x:c r="C56" s="12" t="str">
        <x:f>IF('年次CF'!B27="","",'年次CF'!I27)</x:f>
      </x:c>
      <x:c r="D56" s="12" t="str">
        <x:f>IF('年次CF'!B27="","",'年次CF'!J27)</x:f>
      </x:c>
      <x:c r="E56" s="12" t="str">
        <x:f>IF('年次CF'!B27="","",'年次CF'!K27)</x:f>
      </x:c>
      <x:c r="F56" s="1"/>
      <x:c r="G56" s="1"/>
      <x:c r="H56" s="1"/>
      <x:c r="I56" s="1"/>
      <x:c r="J56" s="1"/>
      <x:c r="K56" s="1"/>
      <x:c r="L56" s="1"/>
    </x:row>
    <x:row r="57" ht="24" customHeight="1">
      <x:c r="A57" s="1"/>
      <x:c r="B57" s="1" t="str">
        <x:f>IF('年次CF'!B28="","",'年次CF'!B28)</x:f>
      </x:c>
      <x:c r="C57" s="12" t="str">
        <x:f>IF('年次CF'!B28="","",'年次CF'!I28)</x:f>
      </x:c>
      <x:c r="D57" s="12" t="str">
        <x:f>IF('年次CF'!B28="","",'年次CF'!J28)</x:f>
      </x:c>
      <x:c r="E57" s="12" t="str">
        <x:f>IF('年次CF'!B28="","",'年次CF'!K28)</x:f>
      </x:c>
      <x:c r="F57" s="1"/>
      <x:c r="G57" s="1"/>
      <x:c r="H57" s="1"/>
      <x:c r="I57" s="1"/>
      <x:c r="J57" s="1"/>
      <x:c r="K57" s="1"/>
      <x:c r="L57" s="1"/>
    </x:row>
    <x:row r="58" ht="24" customHeight="1">
      <x:c r="A58" s="1"/>
      <x:c r="B58" s="1" t="str">
        <x:f>IF('年次CF'!B29="","",'年次CF'!B29)</x:f>
      </x:c>
      <x:c r="C58" s="12" t="str">
        <x:f>IF('年次CF'!B29="","",'年次CF'!I29)</x:f>
      </x:c>
      <x:c r="D58" s="12" t="str">
        <x:f>IF('年次CF'!B29="","",'年次CF'!J29)</x:f>
      </x:c>
      <x:c r="E58" s="12" t="str">
        <x:f>IF('年次CF'!B29="","",'年次CF'!K29)</x:f>
      </x:c>
      <x:c r="F58" s="1"/>
      <x:c r="G58" s="1"/>
      <x:c r="H58" s="1"/>
      <x:c r="I58" s="1"/>
      <x:c r="J58" s="1"/>
      <x:c r="K58" s="1"/>
      <x:c r="L58" s="1"/>
    </x:row>
    <x:row r="59" ht="24" customHeight="1">
      <x:c r="A59" s="1"/>
      <x:c r="B59" s="1" t="str">
        <x:f>IF('年次CF'!B30="","",'年次CF'!B30)</x:f>
      </x:c>
      <x:c r="C59" s="12" t="str">
        <x:f>IF('年次CF'!B30="","",'年次CF'!I30)</x:f>
      </x:c>
      <x:c r="D59" s="12" t="str">
        <x:f>IF('年次CF'!B30="","",'年次CF'!J30)</x:f>
      </x:c>
      <x:c r="E59" s="12" t="str">
        <x:f>IF('年次CF'!B30="","",'年次CF'!K30)</x:f>
      </x:c>
      <x:c r="F59" s="1"/>
      <x:c r="G59" s="1"/>
      <x:c r="H59" s="1"/>
      <x:c r="I59" s="1"/>
      <x:c r="J59" s="1"/>
      <x:c r="K59" s="1"/>
      <x:c r="L59" s="1"/>
    </x:row>
    <x:row r="60" ht="24" customHeight="1">
      <x:c r="A60" s="1"/>
      <x:c r="B60" s="1" t="str">
        <x:f>IF('年次CF'!B31="","",'年次CF'!B31)</x:f>
      </x:c>
      <x:c r="C60" s="12" t="str">
        <x:f>IF('年次CF'!B31="","",'年次CF'!I31)</x:f>
      </x:c>
      <x:c r="D60" s="12" t="str">
        <x:f>IF('年次CF'!B31="","",'年次CF'!J31)</x:f>
      </x:c>
      <x:c r="E60" s="12" t="str">
        <x:f>IF('年次CF'!B31="","",'年次CF'!K31)</x:f>
      </x:c>
      <x:c r="F60" s="1"/>
      <x:c r="G60" s="1"/>
      <x:c r="H60" s="1"/>
      <x:c r="I60" s="1"/>
      <x:c r="J60" s="1"/>
      <x:c r="K60" s="1"/>
      <x:c r="L60" s="1"/>
    </x:row>
    <x:row r="61" ht="24" customHeight="1">
      <x:c r="A61" s="1"/>
      <x:c r="B61" s="1" t="str">
        <x:f>IF('年次CF'!B32="","",'年次CF'!B32)</x:f>
      </x:c>
      <x:c r="C61" s="12" t="str">
        <x:f>IF('年次CF'!B32="","",'年次CF'!I32)</x:f>
      </x:c>
      <x:c r="D61" s="12" t="str">
        <x:f>IF('年次CF'!B32="","",'年次CF'!J32)</x:f>
      </x:c>
      <x:c r="E61" s="12" t="str">
        <x:f>IF('年次CF'!B32="","",'年次CF'!K32)</x:f>
      </x:c>
      <x:c r="F61" s="1"/>
      <x:c r="G61" s="1"/>
      <x:c r="H61" s="1"/>
      <x:c r="I61" s="1"/>
      <x:c r="J61" s="1"/>
      <x:c r="K61" s="1"/>
      <x:c r="L61" s="1"/>
    </x:row>
    <x:row r="62" ht="24" customHeight="1">
      <x:c r="A62" s="1"/>
      <x:c r="B62" s="1" t="str">
        <x:f>IF('年次CF'!B33="","",'年次CF'!B33)</x:f>
      </x:c>
      <x:c r="C62" s="12" t="str">
        <x:f>IF('年次CF'!B33="","",'年次CF'!I33)</x:f>
      </x:c>
      <x:c r="D62" s="12" t="str">
        <x:f>IF('年次CF'!B33="","",'年次CF'!J33)</x:f>
      </x:c>
      <x:c r="E62" s="12" t="str">
        <x:f>IF('年次CF'!B33="","",'年次CF'!K33)</x:f>
      </x:c>
      <x:c r="F62" s="1"/>
      <x:c r="G62" s="1"/>
      <x:c r="H62" s="1"/>
      <x:c r="I62" s="1"/>
      <x:c r="J62" s="1"/>
      <x:c r="K62" s="1"/>
      <x:c r="L62" s="1"/>
    </x:row>
    <x:row r="63" ht="24" customHeight="1">
      <x:c r="A63" s="1"/>
      <x:c r="B63" s="1" t="str">
        <x:f>IF('年次CF'!B34="","",'年次CF'!B34)</x:f>
      </x:c>
      <x:c r="C63" s="12" t="str">
        <x:f>IF('年次CF'!B34="","",'年次CF'!I34)</x:f>
      </x:c>
      <x:c r="D63" s="12" t="str">
        <x:f>IF('年次CF'!B34="","",'年次CF'!J34)</x:f>
      </x:c>
      <x:c r="E63" s="12" t="str">
        <x:f>IF('年次CF'!B34="","",'年次CF'!K34)</x:f>
      </x:c>
      <x:c r="F63" s="1"/>
      <x:c r="G63" s="1"/>
      <x:c r="H63" s="1"/>
      <x:c r="I63" s="1"/>
      <x:c r="J63" s="1"/>
      <x:c r="K63" s="1"/>
      <x:c r="L63" s="1"/>
    </x:row>
    <x:row r="64" ht="24" customHeight="1">
      <x:c r="A64" s="1"/>
      <x:c r="B64" s="1" t="str">
        <x:f>IF('年次CF'!B35="","",'年次CF'!B35)</x:f>
      </x:c>
      <x:c r="C64" s="12" t="str">
        <x:f>IF('年次CF'!B35="","",'年次CF'!I35)</x:f>
      </x:c>
      <x:c r="D64" s="12" t="str">
        <x:f>IF('年次CF'!B35="","",'年次CF'!J35)</x:f>
      </x:c>
      <x:c r="E64" s="12" t="str">
        <x:f>IF('年次CF'!B35="","",'年次CF'!K35)</x:f>
      </x:c>
      <x:c r="F64" s="1"/>
      <x:c r="G64" s="1"/>
      <x:c r="H64" s="1"/>
      <x:c r="I64" s="1"/>
      <x:c r="J64" s="1"/>
      <x:c r="K64" s="1"/>
      <x:c r="L64" s="1"/>
    </x:row>
    <x:row r="65" ht="24" customHeight="1">
      <x:c r="A65" s="1"/>
      <x:c r="B65" s="1" t="str">
        <x:f>IF('年次CF'!B36="","",'年次CF'!B36)</x:f>
      </x:c>
      <x:c r="C65" s="12" t="str">
        <x:f>IF('年次CF'!B36="","",'年次CF'!I36)</x:f>
      </x:c>
      <x:c r="D65" s="12" t="str">
        <x:f>IF('年次CF'!B36="","",'年次CF'!J36)</x:f>
      </x:c>
      <x:c r="E65" s="12" t="str">
        <x:f>IF('年次CF'!B36="","",'年次CF'!K36)</x:f>
      </x:c>
      <x:c r="F65" s="1"/>
      <x:c r="G65" s="1"/>
      <x:c r="H65" s="1"/>
      <x:c r="I65" s="1"/>
      <x:c r="J65" s="1"/>
      <x:c r="K65" s="1"/>
      <x:c r="L65" s="1"/>
    </x:row>
    <x:row r="66" ht="24" customHeight="1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</x:row>
    <x:row r="67" ht="24" customHeight="1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</x:row>
    <x:row r="68" ht="24" customHeight="1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</x:row>
    <x:row r="69" ht="24" customHeight="1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</x:row>
    <x:row r="70" ht="24" customHeight="1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</x:row>
  </x:sheetData>
  <x:pageMargins left="0.7" right="0.7" top="0.75" bottom="0.75" header="0.3" footer="0.3"/>
  <x:drawing xmlns:r="http://schemas.openxmlformats.org/officeDocument/2006/relationships" r:id="R63261ad1b14041c9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" hidden="0" customWidth="1"/>
    <x:col min="2" max="2" width="33" hidden="0" customWidth="1"/>
    <x:col min="3" max="3" width="17" hidden="0" customWidth="1"/>
    <x:col min="4" max="4" width="22" hidden="0" customWidth="1"/>
    <x:col min="5" max="5" width="55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 ht="24" customHeight="1">
      <x:c r="A2" s="1"/>
      <x:c r="B2" s="2" t="str">
        <x:v>調達比較の入力条件</x:v>
      </x:c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 ht="24" customHeight="1">
      <x:c r="A3" s="1"/>
      <x:c r="B3" s="1" t="str">
        <x:v>淡いティールのセルを編集。初期値は計算例で、相場ではありません。</x:v>
      </x:c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 ht="24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</x:row>
    <x:row r="5" ht="30" customHeight="1">
      <x:c r="A5" s="1"/>
      <x:c r="B5" s="4" t="str">
        <x:v>項目</x:v>
      </x:c>
      <x:c r="C5" s="4" t="str">
        <x:v>入力値</x:v>
      </x:c>
      <x:c r="D5" s="4" t="str">
        <x:v>単位</x:v>
      </x:c>
      <x:c r="E5" s="4" t="str">
        <x:v>入力上の注意</x:v>
      </x:c>
      <x:c r="F5" s="1"/>
      <x:c r="G5" s="1"/>
      <x:c r="H5" s="1"/>
      <x:c r="I5" s="1"/>
      <x:c r="J5" s="1"/>
      <x:c r="K5" s="1"/>
      <x:c r="L5" s="1"/>
    </x:row>
    <x:row r="6" ht="24" customHeight="1">
      <x:c r="A6" s="1"/>
      <x:c r="B6" s="1" t="str">
        <x:v>年間需要</x:v>
      </x:c>
      <x:c r="C6" s="7" t="n">
        <x:v>500000</x:v>
      </x:c>
      <x:c r="D6" s="1" t="str">
        <x:v>kWh/年</x:v>
      </x:c>
      <x:c r="E6" s="1" t="str">
        <x:v>同一施設の年間使用量</x:v>
      </x:c>
      <x:c r="F6" s="1"/>
      <x:c r="G6" s="1"/>
      <x:c r="H6" s="1"/>
      <x:c r="I6" s="1"/>
      <x:c r="J6" s="1"/>
      <x:c r="K6" s="1"/>
      <x:c r="L6" s="1"/>
    </x:row>
    <x:row r="7" ht="24" customHeight="1">
      <x:c r="A7" s="1"/>
      <x:c r="B7" s="1" t="str">
        <x:v>太陽光DC容量</x:v>
      </x:c>
      <x:c r="C7" s="7" t="n">
        <x:v>200</x:v>
      </x:c>
      <x:c r="D7" s="1" t="str">
        <x:v>kW</x:v>
      </x:c>
      <x:c r="E7" s="1" t="str">
        <x:v>DC/ACの違いに注意</x:v>
      </x:c>
      <x:c r="F7" s="1"/>
      <x:c r="G7" s="1"/>
      <x:c r="H7" s="1"/>
      <x:c r="I7" s="1"/>
      <x:c r="J7" s="1"/>
      <x:c r="K7" s="1"/>
      <x:c r="L7" s="1"/>
    </x:row>
    <x:row r="8" ht="24" customHeight="1">
      <x:c r="A8" s="1"/>
      <x:c r="B8" s="1" t="str">
        <x:v>初年度発電量原単位</x:v>
      </x:c>
      <x:c r="C8" s="7" t="n">
        <x:v>1100</x:v>
      </x:c>
      <x:c r="D8" s="1" t="str">
        <x:v>kWh/kW・年</x:v>
      </x:c>
      <x:c r="E8" s="1" t="str">
        <x:v>所在地・方位・積雪・ロスを反映</x:v>
      </x:c>
      <x:c r="F8" s="1"/>
      <x:c r="G8" s="1"/>
      <x:c r="H8" s="1"/>
      <x:c r="I8" s="1"/>
      <x:c r="J8" s="1"/>
      <x:c r="K8" s="1"/>
      <x:c r="L8" s="1"/>
    </x:row>
    <x:row r="9" ht="24" customHeight="1">
      <x:c r="A9" s="1"/>
      <x:c r="B9" s="1" t="str">
        <x:v>自家消費率</x:v>
      </x:c>
      <x:c r="C9" s="8" t="n">
        <x:v>0.85</x:v>
      </x:c>
      <x:c r="D9" s="1" t="str">
        <x:v>比率</x:v>
      </x:c>
      <x:c r="E9" s="1" t="str">
        <x:v>発電量を分母とする。時系列で検証</x:v>
      </x:c>
      <x:c r="F9" s="1"/>
      <x:c r="G9" s="1"/>
      <x:c r="H9" s="1"/>
      <x:c r="I9" s="1"/>
      <x:c r="J9" s="1"/>
      <x:c r="K9" s="1"/>
      <x:c r="L9" s="1"/>
    </x:row>
    <x:row r="10" ht="24" customHeight="1">
      <x:c r="A10" s="1"/>
      <x:c r="B10" s="1" t="str">
        <x:v>購入回避単価</x:v>
      </x:c>
      <x:c r="C10" s="7" t="n">
        <x:v>25</x:v>
      </x:c>
      <x:c r="D10" s="1" t="str">
        <x:v>円/kWh</x:v>
      </x:c>
      <x:c r="E10" s="1" t="str">
        <x:v>基本料金を除く・税別</x:v>
      </x:c>
      <x:c r="F10" s="1"/>
      <x:c r="G10" s="1"/>
      <x:c r="H10" s="1"/>
      <x:c r="I10" s="1"/>
      <x:c r="J10" s="1"/>
      <x:c r="K10" s="1"/>
      <x:c r="L10" s="1"/>
    </x:row>
    <x:row r="11" ht="24" customHeight="1">
      <x:c r="A11" s="1"/>
      <x:c r="B11" s="1" t="str">
        <x:v>購入単価の年変化率</x:v>
      </x:c>
      <x:c r="C11" s="8" t="n">
        <x:v>0</x:v>
      </x:c>
      <x:c r="D11" s="1" t="str">
        <x:v>比率</x:v>
      </x:c>
      <x:c r="E11" s="1" t="str">
        <x:v>予測ではなく仮定</x:v>
      </x:c>
      <x:c r="F11" s="1"/>
      <x:c r="G11" s="1"/>
      <x:c r="H11" s="1"/>
      <x:c r="I11" s="1"/>
      <x:c r="J11" s="1"/>
      <x:c r="K11" s="1"/>
      <x:c r="L11" s="1"/>
    </x:row>
    <x:row r="12" ht="24" customHeight="1">
      <x:c r="A12" s="1"/>
      <x:c r="B12" s="1" t="str">
        <x:v>契約・評価期間</x:v>
      </x:c>
      <x:c r="C12" s="7" t="n">
        <x:v>20</x:v>
      </x:c>
      <x:c r="D12" s="1" t="str">
        <x:v>年</x:v>
      </x:c>
      <x:c r="E12" s="1" t="str">
        <x:v>全方式共通。1〜30の整数</x:v>
      </x:c>
      <x:c r="F12" s="1"/>
      <x:c r="G12" s="1"/>
      <x:c r="H12" s="1"/>
      <x:c r="I12" s="1"/>
      <x:c r="J12" s="1"/>
      <x:c r="K12" s="1"/>
      <x:c r="L12" s="1"/>
    </x:row>
    <x:row r="13" ht="24" customHeight="1">
      <x:c r="A13" s="1"/>
      <x:c r="B13" s="1" t="str">
        <x:v>割引率</x:v>
      </x:c>
      <x:c r="C13" s="8" t="n">
        <x:v>0.03</x:v>
      </x:c>
      <x:c r="D13" s="1" t="str">
        <x:v>比率</x:v>
      </x:c>
      <x:c r="E13" s="1" t="str">
        <x:v>年末CFを割引</x:v>
      </x:c>
      <x:c r="F13" s="1"/>
      <x:c r="G13" s="1"/>
      <x:c r="H13" s="1"/>
      <x:c r="I13" s="1"/>
      <x:c r="J13" s="1"/>
      <x:c r="K13" s="1"/>
      <x:c r="L13" s="1"/>
    </x:row>
    <x:row r="14" ht="24" customHeight="1">
      <x:c r="A14" s="1"/>
      <x:c r="B14" s="1" t="str">
        <x:v>年劣化率</x:v>
      </x:c>
      <x:c r="C14" s="8" t="n">
        <x:v>0.005</x:v>
      </x:c>
      <x:c r="D14" s="1" t="str">
        <x:v>比率</x:v>
      </x:c>
      <x:c r="E14" s="1" t="str">
        <x:v>発電量の低下</x:v>
      </x:c>
      <x:c r="F14" s="1"/>
      <x:c r="G14" s="1"/>
      <x:c r="H14" s="1"/>
      <x:c r="I14" s="1"/>
      <x:c r="J14" s="1"/>
      <x:c r="K14" s="1"/>
      <x:c r="L14" s="1"/>
    </x:row>
    <x:row r="15" ht="24" customHeight="1">
      <x:c r="A15" s="1"/>
      <x:c r="B15" s="1" t="str">
        <x:v>自己所有初期設備費</x:v>
      </x:c>
      <x:c r="C15" s="7" t="n">
        <x:v>30000000</x:v>
      </x:c>
      <x:c r="D15" s="1" t="str">
        <x:v>円</x:v>
      </x:c>
      <x:c r="E15" s="1" t="str">
        <x:v>税別・借入前</x:v>
      </x:c>
      <x:c r="F15" s="1"/>
      <x:c r="G15" s="1"/>
      <x:c r="H15" s="1"/>
      <x:c r="I15" s="1"/>
      <x:c r="J15" s="1"/>
      <x:c r="K15" s="1"/>
      <x:c r="L15" s="1"/>
    </x:row>
    <x:row r="16" ht="24" customHeight="1">
      <x:c r="A16" s="1"/>
      <x:c r="B16" s="1" t="str">
        <x:v>自己所有補助金</x:v>
      </x:c>
      <x:c r="C16" s="7" t="n">
        <x:v>0</x:v>
      </x:c>
      <x:c r="D16" s="1" t="str">
        <x:v>円</x:v>
      </x:c>
      <x:c r="E16" s="1" t="str">
        <x:v>初期費用と同時入金と仮定</x:v>
      </x:c>
      <x:c r="F16" s="1"/>
      <x:c r="G16" s="1"/>
      <x:c r="H16" s="1"/>
      <x:c r="I16" s="1"/>
      <x:c r="J16" s="1"/>
      <x:c r="K16" s="1"/>
      <x:c r="L16" s="1"/>
    </x:row>
    <x:row r="17" ht="24" customHeight="1">
      <x:c r="A17" s="1"/>
      <x:c r="B17" s="1" t="str">
        <x:v>自己所有年間維持費</x:v>
      </x:c>
      <x:c r="C17" s="7" t="n">
        <x:v>300000</x:v>
      </x:c>
      <x:c r="D17" s="1" t="str">
        <x:v>円/年</x:v>
      </x:c>
      <x:c r="E17" s="1" t="str">
        <x:v>保守・保険・租税公課等を含める</x:v>
      </x:c>
      <x:c r="F17" s="1"/>
      <x:c r="G17" s="1"/>
      <x:c r="H17" s="1"/>
      <x:c r="I17" s="1"/>
      <x:c r="J17" s="1"/>
      <x:c r="K17" s="1"/>
      <x:c r="L17" s="1"/>
    </x:row>
    <x:row r="18" ht="24" customHeight="1">
      <x:c r="A18" s="1"/>
      <x:c r="B18" s="1" t="str">
        <x:v>自己所有交換年</x:v>
      </x:c>
      <x:c r="C18" s="7" t="n">
        <x:v>12</x:v>
      </x:c>
      <x:c r="D18" s="1" t="str">
        <x:v>年</x:v>
      </x:c>
      <x:c r="E18" s="1" t="str">
        <x:v>0は交換なし</x:v>
      </x:c>
      <x:c r="F18" s="1"/>
      <x:c r="G18" s="1"/>
      <x:c r="H18" s="1"/>
      <x:c r="I18" s="1"/>
      <x:c r="J18" s="1"/>
      <x:c r="K18" s="1"/>
      <x:c r="L18" s="1"/>
    </x:row>
    <x:row r="19" ht="24" customHeight="1">
      <x:c r="A19" s="1"/>
      <x:c r="B19" s="1" t="str">
        <x:v>自己所有交換費</x:v>
      </x:c>
      <x:c r="C19" s="7" t="n">
        <x:v>2000000</x:v>
      </x:c>
      <x:c r="D19" s="1" t="str">
        <x:v>円</x:v>
      </x:c>
      <x:c r="E19" s="1" t="str">
        <x:v>1回の交換</x:v>
      </x:c>
      <x:c r="F19" s="1"/>
      <x:c r="G19" s="1"/>
      <x:c r="H19" s="1"/>
      <x:c r="I19" s="1"/>
      <x:c r="J19" s="1"/>
      <x:c r="K19" s="1"/>
      <x:c r="L19" s="1"/>
    </x:row>
    <x:row r="20" ht="24" customHeight="1">
      <x:c r="A20" s="1"/>
      <x:c r="B20" s="1" t="str">
        <x:v>余剰売電単価</x:v>
      </x:c>
      <x:c r="C20" s="7" t="n">
        <x:v>0</x:v>
      </x:c>
      <x:c r="D20" s="1" t="str">
        <x:v>円/kWh</x:v>
      </x:c>
      <x:c r="E20" s="1" t="str">
        <x:v>自己所有・リースのみ</x:v>
      </x:c>
      <x:c r="F20" s="1"/>
      <x:c r="G20" s="1"/>
      <x:c r="H20" s="1"/>
      <x:c r="I20" s="1"/>
      <x:c r="J20" s="1"/>
      <x:c r="K20" s="1"/>
      <x:c r="L20" s="1"/>
    </x:row>
    <x:row r="21" ht="24" customHeight="1">
      <x:c r="A21" s="1"/>
      <x:c r="B21" s="1" t="str">
        <x:v>PPA初年度単価</x:v>
      </x:c>
      <x:c r="C21" s="7" t="n">
        <x:v>18</x:v>
      </x:c>
      <x:c r="D21" s="1" t="str">
        <x:v>円/kWh</x:v>
      </x:c>
      <x:c r="E21" s="1" t="str">
        <x:v>税別</x:v>
      </x:c>
      <x:c r="F21" s="1"/>
      <x:c r="G21" s="1"/>
      <x:c r="H21" s="1"/>
      <x:c r="I21" s="1"/>
      <x:c r="J21" s="1"/>
      <x:c r="K21" s="1"/>
      <x:c r="L21" s="1"/>
    </x:row>
    <x:row r="22" ht="24" customHeight="1">
      <x:c r="A22" s="1"/>
      <x:c r="B22" s="1" t="str">
        <x:v>PPA単価の年変化率</x:v>
      </x:c>
      <x:c r="C22" s="8" t="n">
        <x:v>0</x:v>
      </x:c>
      <x:c r="D22" s="1" t="str">
        <x:v>比率</x:v>
      </x:c>
      <x:c r="E22" s="1" t="str">
        <x:v>契約に合わせる</x:v>
      </x:c>
      <x:c r="F22" s="1"/>
      <x:c r="G22" s="1"/>
      <x:c r="H22" s="1"/>
      <x:c r="I22" s="1"/>
      <x:c r="J22" s="1"/>
      <x:c r="K22" s="1"/>
      <x:c r="L22" s="1"/>
    </x:row>
    <x:row r="23" ht="24" customHeight="1">
      <x:c r="A23" s="1"/>
      <x:c r="B23" s="1" t="str">
        <x:v>PPA年間追加費</x:v>
      </x:c>
      <x:c r="C23" s="7" t="n">
        <x:v>0</x:v>
      </x:c>
      <x:c r="D23" s="1" t="str">
        <x:v>円/年</x:v>
      </x:c>
      <x:c r="E23" s="1" t="str">
        <x:v>固定費等</x:v>
      </x:c>
      <x:c r="F23" s="1"/>
      <x:c r="G23" s="1"/>
      <x:c r="H23" s="1"/>
      <x:c r="I23" s="1"/>
      <x:c r="J23" s="1"/>
      <x:c r="K23" s="1"/>
      <x:c r="L23" s="1"/>
    </x:row>
    <x:row r="24" ht="24" customHeight="1">
      <x:c r="A24" s="1"/>
      <x:c r="B24" s="1" t="str">
        <x:v>PPA請求方式</x:v>
      </x:c>
      <x:c r="C24" s="7" t="n">
        <x:v>0</x:v>
      </x:c>
      <x:c r="D24" s="1" t="str">
        <x:v>0/1</x:v>
      </x:c>
      <x:c r="E24" s="1" t="str">
        <x:v>0=使用量、1=全発電量</x:v>
      </x:c>
      <x:c r="F24" s="1"/>
      <x:c r="G24" s="1"/>
      <x:c r="H24" s="1"/>
      <x:c r="I24" s="1"/>
      <x:c r="J24" s="1"/>
      <x:c r="K24" s="1"/>
      <x:c r="L24" s="1"/>
    </x:row>
    <x:row r="25" ht="24" customHeight="1">
      <x:c r="A25" s="1"/>
      <x:c r="B25" s="1" t="str">
        <x:v>年間リース料</x:v>
      </x:c>
      <x:c r="C25" s="7" t="n">
        <x:v>1800000</x:v>
      </x:c>
      <x:c r="D25" s="1" t="str">
        <x:v>円/年</x:v>
      </x:c>
      <x:c r="E25" s="1" t="str">
        <x:v>評価期間中支払を仮定</x:v>
      </x:c>
      <x:c r="F25" s="1"/>
      <x:c r="G25" s="1"/>
      <x:c r="H25" s="1"/>
      <x:c r="I25" s="1"/>
      <x:c r="J25" s="1"/>
      <x:c r="K25" s="1"/>
      <x:c r="L25" s="1"/>
    </x:row>
    <x:row r="26" ht="24" customHeight="1">
      <x:c r="A26" s="1"/>
      <x:c r="B26" s="1" t="str">
        <x:v>リース借手年間維持費</x:v>
      </x:c>
      <x:c r="C26" s="7" t="n">
        <x:v>0</x:v>
      </x:c>
      <x:c r="D26" s="1" t="str">
        <x:v>円/年</x:v>
      </x:c>
      <x:c r="E26" s="1" t="str">
        <x:v>契約で交換・保険の負担も確認</x:v>
      </x:c>
      <x:c r="F26" s="1"/>
      <x:c r="G26" s="1"/>
      <x:c r="H26" s="1"/>
      <x:c r="I26" s="1"/>
      <x:c r="J26" s="1"/>
      <x:c r="K26" s="1"/>
      <x:c r="L26" s="1"/>
    </x:row>
    <x:row r="27" ht="24" customHeight="1">
      <x:c r="A27" s="1"/>
      <x:c r="B27" s="1" t="str">
        <x:v>自己所有期末純費用</x:v>
      </x:c>
      <x:c r="C27" s="7" t="n">
        <x:v>1000000</x:v>
      </x:c>
      <x:c r="D27" s="1" t="str">
        <x:v>円</x:v>
      </x:c>
      <x:c r="E27" s="1" t="str">
        <x:v>撤去等−残存価値。0以上</x:v>
      </x:c>
      <x:c r="F27" s="1"/>
      <x:c r="G27" s="1"/>
      <x:c r="H27" s="1"/>
      <x:c r="I27" s="1"/>
      <x:c r="J27" s="1"/>
      <x:c r="K27" s="1"/>
      <x:c r="L27" s="1"/>
    </x:row>
    <x:row r="28" ht="24" customHeight="1">
      <x:c r="A28" s="1"/>
      <x:c r="B28" s="1" t="str">
        <x:v>PPA期末純費用</x:v>
      </x:c>
      <x:c r="C28" s="7" t="n">
        <x:v>0</x:v>
      </x:c>
      <x:c r="D28" s="1" t="str">
        <x:v>円</x:v>
      </x:c>
      <x:c r="E28" s="1" t="str">
        <x:v>譲渡・撤去等</x:v>
      </x:c>
      <x:c r="F28" s="1"/>
      <x:c r="G28" s="1"/>
      <x:c r="H28" s="1"/>
      <x:c r="I28" s="1"/>
      <x:c r="J28" s="1"/>
      <x:c r="K28" s="1"/>
      <x:c r="L28" s="1"/>
    </x:row>
    <x:row r="29" ht="24" customHeight="1">
      <x:c r="A29" s="1"/>
      <x:c r="B29" s="1" t="str">
        <x:v>リース期末純費用</x:v>
      </x:c>
      <x:c r="C29" s="7" t="n">
        <x:v>0</x:v>
      </x:c>
      <x:c r="D29" s="1" t="str">
        <x:v>円</x:v>
      </x:c>
      <x:c r="E29" s="1" t="str">
        <x:v>買取・撤去等</x:v>
      </x:c>
      <x:c r="F29" s="1"/>
      <x:c r="G29" s="1"/>
      <x:c r="H29" s="1"/>
      <x:c r="I29" s="1"/>
      <x:c r="J29" s="1"/>
      <x:c r="K29" s="1"/>
      <x:c r="L29" s="1"/>
    </x:row>
    <x:row r="30" ht="24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</x:row>
    <x:row r="31" ht="24" customHeight="1">
      <x:c r="A31" s="1"/>
      <x:c r="B31" s="1" t="str">
        <x:v>入力状態</x:v>
      </x:c>
      <x:c r="C31" s="1" t="str">
        <x:f>IF(COUNT(C6:C29)&lt;&gt;24,"入力不足",IF(OR(MIN(C6:C10)&lt;0,C6=0,C9&gt;1,C11&lt;-.2,C11&gt;.2,C12&lt;1,C12&gt;30,C12&lt;&gt;INT(C12),C13&lt;0,C13&gt;1,C14&lt;0,C14&gt;1,MIN(C15:C21)&lt;0,C16&gt;C15,C18&lt;&gt;INT(C18),C18&gt;30,C22&lt;-.2,C22&gt;.2,MIN(C23:C29)&lt;0,C24&gt;1,C24&lt;&gt;INT(C24)),"入力範囲を確認","計算可"))</x:f>
        <x:v>計算可</x:v>
      </x:c>
      <x:c r="D31" s="1"/>
      <x:c r="E31" s="1"/>
      <x:c r="F31" s="1"/>
      <x:c r="G31" s="1"/>
      <x:c r="H31" s="1"/>
      <x:c r="I31" s="1"/>
      <x:c r="J31" s="1"/>
      <x:c r="K31" s="1"/>
      <x:c r="L31" s="1"/>
    </x:row>
    <x:row r="32" ht="24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</x:row>
    <x:row r="33" ht="24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</x:row>
    <x:row r="34" ht="24" customHeight="1">
      <x:c r="A34" s="1"/>
      <x:c r="B34" s="1" t="str">
        <x:v>前提・計算の限界</x:v>
      </x:c>
      <x:c r="C34" s="1"/>
      <x:c r="D34" s="1"/>
      <x:c r="E34" s="1"/>
      <x:c r="F34" s="1"/>
      <x:c r="G34" s="1"/>
      <x:c r="H34" s="1"/>
      <x:c r="I34" s="1"/>
      <x:c r="J34" s="1"/>
      <x:c r="K34" s="1"/>
      <x:c r="L34" s="1"/>
    </x:row>
    <x:row r="35" ht="24" customHeight="1">
      <x:c r="A35" s="1"/>
      <x:c r="B35" s="1" t="str">
        <x:v>年間モデル。自家消費の同時性、30分SOC、ピーク、税効果、借入は計算しません。</x:v>
      </x:c>
      <x:c r="C35" s="1"/>
      <x:c r="D35" s="1"/>
      <x:c r="E35" s="1"/>
      <x:c r="F35" s="1"/>
      <x:c r="G35" s="1"/>
      <x:c r="H35" s="1"/>
      <x:c r="I35" s="1"/>
      <x:c r="J35" s="1"/>
      <x:c r="K35" s="1"/>
      <x:c r="L35" s="1"/>
    </x:row>
    <x:row r="36" ht="24" customHeight="1">
      <x:c r="A36" s="1"/>
      <x:c r="B36" s="1" t="str">
        <x:v>PPA余剰の売電収入は事業者へ、リース余剰は需要家へ帰属する仮定です。</x:v>
      </x:c>
      <x:c r="C36" s="1"/>
      <x:c r="D36" s="1"/>
      <x:c r="E36" s="1"/>
      <x:c r="F36" s="1"/>
      <x:c r="G36" s="1"/>
      <x:c r="H36" s="1"/>
      <x:c r="I36" s="1"/>
      <x:c r="J36" s="1"/>
      <x:c r="K36" s="1"/>
      <x:c r="L36" s="1"/>
    </x:row>
    <x:row r="37" ht="24" customHeight="1">
      <x:c r="A37" s="1"/>
      <x:c r="B37" s="1" t="str">
        <x:v>料金・発電量・補助金・停電頻度の初期値はすべて仮定です。</x:v>
      </x:c>
      <x:c r="C37" s="1"/>
      <x:c r="D37" s="1"/>
      <x:c r="E37" s="1"/>
      <x:c r="F37" s="1"/>
      <x:c r="G37" s="1"/>
      <x:c r="H37" s="1"/>
      <x:c r="I37" s="1"/>
      <x:c r="J37" s="1"/>
      <x:c r="K37" s="1"/>
      <x:c r="L37" s="1"/>
    </x:row>
    <x:row r="38" ht="24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</x:row>
    <x:row r="39" ht="24" customHeight="1">
      <x:c r="A39" s="1"/>
      <x:c r="B39" s="1" t="str">
        <x:v>制度・製品の確認先</x:v>
      </x:c>
      <x:c r="C39" s="1"/>
      <x:c r="D39" s="1"/>
      <x:c r="E39" s="1"/>
      <x:c r="F39" s="1"/>
      <x:c r="G39" s="1"/>
      <x:c r="H39" s="1"/>
      <x:c r="I39" s="1"/>
      <x:c r="J39" s="1"/>
      <x:c r="K39" s="1"/>
      <x:c r="L39" s="1"/>
    </x:row>
    <x:row r="40" ht="24" customHeight="1">
      <x:c r="A40" s="1"/>
      <x:c r="B40" s="1" t="str">
        <x:v>https://www.env.go.jp/earth/ondanka/biz_local.html</x:v>
      </x:c>
      <x:c r="C40" s="1"/>
      <x:c r="D40" s="1"/>
      <x:c r="E40" s="1"/>
      <x:c r="F40" s="1"/>
      <x:c r="G40" s="1"/>
      <x:c r="H40" s="1"/>
      <x:c r="I40" s="1"/>
      <x:c r="J40" s="1"/>
      <x:c r="K40" s="1"/>
      <x:c r="L40" s="1"/>
    </x:row>
    <x:row r="41" ht="24" customHeight="1">
      <x:c r="A41" s="1"/>
      <x:c r="B41" s="1" t="str">
        <x:v>https://www.enegaeru.com/documents</x:v>
      </x:c>
      <x:c r="C41" s="1"/>
      <x:c r="D41" s="1"/>
      <x:c r="E41" s="1"/>
      <x:c r="F41" s="1"/>
      <x:c r="G41" s="1"/>
      <x:c r="H41" s="1"/>
      <x:c r="I41" s="1"/>
      <x:c r="J41" s="1"/>
      <x:c r="K41" s="1"/>
      <x:c r="L41" s="1"/>
    </x:row>
    <x:row r="42" ht="24" customHeight="1">
      <x:c r="A42" s="1"/>
      <x:c r="B42" s="1" t="str">
        <x:v>https://biz.enegaeru.com/</x:v>
      </x:c>
      <x:c r="C42" s="1"/>
      <x:c r="D42" s="1"/>
      <x:c r="E42" s="1"/>
      <x:c r="F42" s="1"/>
      <x:c r="G42" s="1"/>
      <x:c r="H42" s="1"/>
      <x:c r="I42" s="1"/>
      <x:c r="J42" s="1"/>
      <x:c r="K42" s="1"/>
      <x:c r="L42" s="1"/>
    </x:row>
    <x:row r="43" ht="24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</x:row>
    <x:row r="44" ht="24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</x:row>
    <x:row r="45" ht="24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</x:row>
    <x:row r="46" ht="24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</x:row>
    <x:row r="47" ht="24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</x:row>
    <x:row r="48" ht="24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</x:row>
    <x:row r="49" ht="24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</x:row>
    <x:row r="50" ht="24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</x:row>
    <x:row r="51" ht="24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</x:row>
    <x:row r="52" ht="24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</x:row>
    <x:row r="53" ht="24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</x:row>
    <x:row r="54" ht="24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</x:row>
    <x:row r="55" ht="24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</x:row>
    <x:row r="56" ht="24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</x:row>
    <x:row r="57" ht="24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</x:row>
    <x:row r="58" ht="24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</x:row>
    <x:row r="59" ht="24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</x:row>
    <x:row r="60" ht="24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</x:row>
    <x:row r="61" ht="24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</x:row>
    <x:row r="62" ht="24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</x:row>
    <x:row r="63" ht="24" customHeight="1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</x:row>
    <x:row r="64" ht="24" customHeight="1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</x:row>
    <x:row r="65" ht="24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</x:row>
    <x:row r="66" ht="24" customHeight="1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</x:row>
    <x:row r="67" ht="24" customHeight="1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</x:row>
    <x:row r="68" ht="24" customHeight="1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</x:row>
    <x:row r="69" ht="24" customHeight="1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</x:row>
    <x:row r="70" ht="24" customHeight="1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</x:row>
  </x:sheetData>
  <x:dataValidations count="2">
    <x:dataValidation type="whole" operator="between" sqref="C12">
      <x:formula1>1</x:formula1>
      <x:formula2>30</x:formula2>
    </x:dataValidation>
    <x:dataValidation type="whole" operator="between" sqref="C24">
      <x:formula1>0</x:formula1>
      <x:formula2>1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" hidden="0" customWidth="1"/>
    <x:col min="2" max="2" width="8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 ht="24" customHeight="1">
      <x:c r="A2" s="1"/>
      <x:c r="B2" s="2" t="str">
        <x:v>年次キャッシュフロー（現状継続との差額）</x:v>
      </x:c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 ht="24" customHeight="1">
      <x:c r="A3" s="1"/>
      <x:c r="B3" s="1" t="str">
        <x:v>税別・税引前・借入前。年間モデル。評価期間外は空欄。</x:v>
      </x:c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 ht="24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</x:row>
    <x:row r="5" ht="30" customHeight="1">
      <x:c r="A5" s="1"/>
      <x:c r="B5" s="9" t="str">
        <x:v>年</x:v>
      </x:c>
      <x:c r="C5" s="9" t="str">
        <x:v>発電 kWh</x:v>
      </x:c>
      <x:c r="D5" s="9" t="str">
        <x:v>自家消費 kWh</x:v>
      </x:c>
      <x:c r="E5" s="9" t="str">
        <x:v>回避単価 円/kWh</x:v>
      </x:c>
      <x:c r="F5" s="9" t="str">
        <x:v>自己所有 CF円</x:v>
      </x:c>
      <x:c r="G5" s="9" t="str">
        <x:v>PPA CF円</x:v>
      </x:c>
      <x:c r="H5" s="9" t="str">
        <x:v>リース CF円</x:v>
      </x:c>
      <x:c r="I5" s="9" t="str">
        <x:v>自己所有 累積円</x:v>
      </x:c>
      <x:c r="J5" s="9" t="str">
        <x:v>PPA 累積円</x:v>
      </x:c>
      <x:c r="K5" s="9" t="str">
        <x:v>リース 累積円</x:v>
      </x:c>
      <x:c r="L5" s="9" t="str">
        <x:v>自己所有 PV円</x:v>
      </x:c>
      <x:c r="M5" s="11" t="str">
        <x:v>PPA PV円</x:v>
      </x:c>
      <x:c r="N5" s="11" t="str">
        <x:v>リース PV円</x:v>
      </x:c>
    </x:row>
    <x:row r="6" ht="24" customHeight="1">
      <x:c r="A6" s="1"/>
      <x:c r="B6" s="1" t="n">
        <x:v>0</x:v>
      </x:c>
      <x:c r="C6" s="12" t="n">
        <x:v>0</x:v>
      </x:c>
      <x:c r="D6" s="12" t="n">
        <x:v>0</x:v>
      </x:c>
      <x:c r="E6" s="14" t="n">
        <x:v>0</x:v>
      </x:c>
      <x:c r="F6" s="12" t="n">
        <x:f>IF('入力条件'!C31&lt;&gt;"計算可","入力確認",-'入力条件'!C15+'入力条件'!C16)</x:f>
        <x:v>-30000000</x:v>
      </x:c>
      <x:c r="G6" s="12" t="n">
        <x:v>0</x:v>
      </x:c>
      <x:c r="H6" s="12" t="n">
        <x:v>0</x:v>
      </x:c>
      <x:c r="I6" s="12" t="n">
        <x:f>F6</x:f>
        <x:v>-30000000</x:v>
      </x:c>
      <x:c r="J6" s="12" t="n">
        <x:f>G6</x:f>
        <x:v>0</x:v>
      </x:c>
      <x:c r="K6" s="12" t="n">
        <x:f>H6</x:f>
        <x:v>0</x:v>
      </x:c>
      <x:c r="L6" s="12" t="n">
        <x:f>F6</x:f>
        <x:v>-30000000</x:v>
      </x:c>
      <x:c r="M6" s="13" t="n">
        <x:v>0</x:v>
      </x:c>
      <x:c r="N6" s="13" t="n">
        <x:v>0</x:v>
      </x:c>
    </x:row>
    <x:row r="7" ht="24" customHeight="1">
      <x:c r="A7" s="1"/>
      <x:c r="B7" s="1" t="n">
        <x:f>IF(AND('入力条件'!$C$31="計算可",1&lt;='入力条件'!$C$12),1,"")</x:f>
        <x:v>1</x:v>
      </x:c>
      <x:c r="C7" s="12" t="n">
        <x:f>IF(AND('入力条件'!$C$31="計算可",1&lt;='入力条件'!$C$12),'入力条件'!$C$7*'入力条件'!$C$8*(1-'入力条件'!$C$14)^(B7-1),"")</x:f>
        <x:v>220000</x:v>
      </x:c>
      <x:c r="D7" s="12" t="n">
        <x:f>IF(AND('入力条件'!$C$31="計算可",1&lt;='入力条件'!$C$12),MIN('入力条件'!$C$6,C7*'入力条件'!$C$9),"")</x:f>
        <x:v>187000</x:v>
      </x:c>
      <x:c r="E7" s="14" t="n">
        <x:f>IF(AND('入力条件'!$C$31="計算可",1&lt;='入力条件'!$C$12),'入力条件'!$C$10*(1+'入力条件'!$C$11)^(B7-1),"")</x:f>
        <x:v>25</x:v>
      </x:c>
      <x:c r="F7" s="12" t="n">
        <x:f>IF(AND('入力条件'!$C$31="計算可",1&lt;='入力条件'!$C$12),D7*E7+(C7-D7)*'入力条件'!$C$20-'入力条件'!$C$17-IF(B7='入力条件'!$C$18,'入力条件'!$C$19,0)-IF(B7='入力条件'!$C$12,'入力条件'!$C$27,0),"")</x:f>
        <x:v>4375000</x:v>
      </x:c>
      <x:c r="G7" s="12" t="n">
        <x:f>IF(AND('入力条件'!$C$31="計算可",1&lt;='入力条件'!$C$12),D7*E7-IF('入力条件'!$C$24=1,C7,D7)*'入力条件'!$C$21*(1+'入力条件'!$C$22)^(B7-1)-'入力条件'!$C$23-IF(B7='入力条件'!$C$12,'入力条件'!$C$28,0),"")</x:f>
        <x:v>1309000</x:v>
      </x:c>
      <x:c r="H7" s="12" t="n">
        <x:f>IF(AND('入力条件'!$C$31="計算可",1&lt;='入力条件'!$C$12),D7*E7+(C7-D7)*'入力条件'!$C$20-'入力条件'!$C$25-'入力条件'!$C$26-IF(B7='入力条件'!$C$12,'入力条件'!$C$29,0),"")</x:f>
        <x:v>2875000</x:v>
      </x:c>
      <x:c r="I7" s="12" t="n">
        <x:f>IF(AND('入力条件'!$C$31="計算可",1&lt;='入力条件'!$C$12),I6+F7,"")</x:f>
        <x:v>-25625000</x:v>
      </x:c>
      <x:c r="J7" s="12" t="n">
        <x:f>IF(AND('入力条件'!$C$31="計算可",1&lt;='入力条件'!$C$12),J6+G7,"")</x:f>
        <x:v>1309000</x:v>
      </x:c>
      <x:c r="K7" s="12" t="n">
        <x:f>IF(AND('入力条件'!$C$31="計算可",1&lt;='入力条件'!$C$12),K6+H7,"")</x:f>
        <x:v>2875000</x:v>
      </x:c>
      <x:c r="L7" s="12" t="n">
        <x:f>IF(AND('入力条件'!$C$31="計算可",1&lt;='入力条件'!$C$12),F7/(1+'入力条件'!$C$13)^B7,"")</x:f>
        <x:v>4247572.815533981</x:v>
      </x:c>
      <x:c r="M7" s="13" t="n">
        <x:f>IF(B7="","",G7/(1+'入力条件'!$C$13)^B7)</x:f>
        <x:v>1270873.7864077669</x:v>
      </x:c>
      <x:c r="N7" s="13" t="n">
        <x:f>IF(B7="","",H7/(1+'入力条件'!$C$13)^B7)</x:f>
        <x:v>2791262.13592233</x:v>
      </x:c>
    </x:row>
    <x:row r="8" ht="24" customHeight="1">
      <x:c r="A8" s="1"/>
      <x:c r="B8" s="1" t="n">
        <x:f>IF(AND('入力条件'!$C$31="計算可",2&lt;='入力条件'!$C$12),2,"")</x:f>
        <x:v>2</x:v>
      </x:c>
      <x:c r="C8" s="12" t="n">
        <x:f>IF(AND('入力条件'!$C$31="計算可",2&lt;='入力条件'!$C$12),'入力条件'!$C$7*'入力条件'!$C$8*(1-'入力条件'!$C$14)^(B8-1),"")</x:f>
        <x:v>218900</x:v>
      </x:c>
      <x:c r="D8" s="12" t="n">
        <x:f>IF(AND('入力条件'!$C$31="計算可",2&lt;='入力条件'!$C$12),MIN('入力条件'!$C$6,C8*'入力条件'!$C$9),"")</x:f>
        <x:v>186065</x:v>
      </x:c>
      <x:c r="E8" s="14" t="n">
        <x:f>IF(AND('入力条件'!$C$31="計算可",2&lt;='入力条件'!$C$12),'入力条件'!$C$10*(1+'入力条件'!$C$11)^(B8-1),"")</x:f>
        <x:v>25</x:v>
      </x:c>
      <x:c r="F8" s="12" t="n">
        <x:f>IF(AND('入力条件'!$C$31="計算可",2&lt;='入力条件'!$C$12),D8*E8+(C8-D8)*'入力条件'!$C$20-'入力条件'!$C$17-IF(B8='入力条件'!$C$18,'入力条件'!$C$19,0)-IF(B8='入力条件'!$C$12,'入力条件'!$C$27,0),"")</x:f>
        <x:v>4351625</x:v>
      </x:c>
      <x:c r="G8" s="12" t="n">
        <x:f>IF(AND('入力条件'!$C$31="計算可",2&lt;='入力条件'!$C$12),D8*E8-IF('入力条件'!$C$24=1,C8,D8)*'入力条件'!$C$21*(1+'入力条件'!$C$22)^(B8-1)-'入力条件'!$C$23-IF(B8='入力条件'!$C$12,'入力条件'!$C$28,0),"")</x:f>
        <x:v>1302455</x:v>
      </x:c>
      <x:c r="H8" s="12" t="n">
        <x:f>IF(AND('入力条件'!$C$31="計算可",2&lt;='入力条件'!$C$12),D8*E8+(C8-D8)*'入力条件'!$C$20-'入力条件'!$C$25-'入力条件'!$C$26-IF(B8='入力条件'!$C$12,'入力条件'!$C$29,0),"")</x:f>
        <x:v>2851625</x:v>
      </x:c>
      <x:c r="I8" s="12" t="n">
        <x:f>IF(AND('入力条件'!$C$31="計算可",2&lt;='入力条件'!$C$12),I7+F8,"")</x:f>
        <x:v>-21273375</x:v>
      </x:c>
      <x:c r="J8" s="12" t="n">
        <x:f>IF(AND('入力条件'!$C$31="計算可",2&lt;='入力条件'!$C$12),J7+G8,"")</x:f>
        <x:v>2611455</x:v>
      </x:c>
      <x:c r="K8" s="12" t="n">
        <x:f>IF(AND('入力条件'!$C$31="計算可",2&lt;='入力条件'!$C$12),K7+H8,"")</x:f>
        <x:v>5726625</x:v>
      </x:c>
      <x:c r="L8" s="12" t="n">
        <x:f>IF(AND('入力条件'!$C$31="計算可",2&lt;='入力条件'!$C$12),F8/(1+'入力条件'!$C$13)^B8,"")</x:f>
        <x:v>4101823.923084174</x:v>
      </x:c>
      <x:c r="M8" s="13" t="n">
        <x:f>IF(B8="","",G8/(1+'入力条件'!$C$13)^B8)</x:f>
        <x:v>1227688.7548308042</x:v>
      </x:c>
      <x:c r="N8" s="13" t="n">
        <x:f>IF(B8="","",H8/(1+'入力条件'!$C$13)^B8)</x:f>
        <x:v>2687930.0593835423</x:v>
      </x:c>
    </x:row>
    <x:row r="9" ht="24" customHeight="1">
      <x:c r="A9" s="1"/>
      <x:c r="B9" s="1" t="n">
        <x:f>IF(AND('入力条件'!$C$31="計算可",3&lt;='入力条件'!$C$12),3,"")</x:f>
        <x:v>3</x:v>
      </x:c>
      <x:c r="C9" s="12" t="n">
        <x:f>IF(AND('入力条件'!$C$31="計算可",3&lt;='入力条件'!$C$12),'入力条件'!$C$7*'入力条件'!$C$8*(1-'入力条件'!$C$14)^(B9-1),"")</x:f>
        <x:v>217805.5</x:v>
      </x:c>
      <x:c r="D9" s="12" t="n">
        <x:f>IF(AND('入力条件'!$C$31="計算可",3&lt;='入力条件'!$C$12),MIN('入力条件'!$C$6,C9*'入力条件'!$C$9),"")</x:f>
        <x:v>185134.675</x:v>
      </x:c>
      <x:c r="E9" s="14" t="n">
        <x:f>IF(AND('入力条件'!$C$31="計算可",3&lt;='入力条件'!$C$12),'入力条件'!$C$10*(1+'入力条件'!$C$11)^(B9-1),"")</x:f>
        <x:v>25</x:v>
      </x:c>
      <x:c r="F9" s="12" t="n">
        <x:f>IF(AND('入力条件'!$C$31="計算可",3&lt;='入力条件'!$C$12),D9*E9+(C9-D9)*'入力条件'!$C$20-'入力条件'!$C$17-IF(B9='入力条件'!$C$18,'入力条件'!$C$19,0)-IF(B9='入力条件'!$C$12,'入力条件'!$C$27,0),"")</x:f>
        <x:v>4328366.875</x:v>
      </x:c>
      <x:c r="G9" s="12" t="n">
        <x:f>IF(AND('入力条件'!$C$31="計算可",3&lt;='入力条件'!$C$12),D9*E9-IF('入力条件'!$C$24=1,C9,D9)*'入力条件'!$C$21*(1+'入力条件'!$C$22)^(B9-1)-'入力条件'!$C$23-IF(B9='入力条件'!$C$12,'入力条件'!$C$28,0),"")</x:f>
        <x:v>1295942.725</x:v>
      </x:c>
      <x:c r="H9" s="12" t="n">
        <x:f>IF(AND('入力条件'!$C$31="計算可",3&lt;='入力条件'!$C$12),D9*E9+(C9-D9)*'入力条件'!$C$20-'入力条件'!$C$25-'入力条件'!$C$26-IF(B9='入力条件'!$C$12,'入力条件'!$C$29,0),"")</x:f>
        <x:v>2828366.875</x:v>
      </x:c>
      <x:c r="I9" s="12" t="n">
        <x:f>IF(AND('入力条件'!$C$31="計算可",3&lt;='入力条件'!$C$12),I8+F9,"")</x:f>
        <x:v>-16945008.125</x:v>
      </x:c>
      <x:c r="J9" s="12" t="n">
        <x:f>IF(AND('入力条件'!$C$31="計算可",3&lt;='入力条件'!$C$12),J8+G9,"")</x:f>
        <x:v>3907397.725</x:v>
      </x:c>
      <x:c r="K9" s="12" t="n">
        <x:f>IF(AND('入力条件'!$C$31="計算可",3&lt;='入力条件'!$C$12),K8+H9,"")</x:f>
        <x:v>8554991.875</x:v>
      </x:c>
      <x:c r="L9" s="12" t="n">
        <x:f>IF(AND('入力条件'!$C$31="計算可",3&lt;='入力条件'!$C$12),F9/(1+'入力条件'!$C$13)^B9,"")</x:f>
        <x:v>3961068.84427675</x:v>
      </x:c>
      <x:c r="M9" s="13" t="n">
        <x:f>IF(B9="","",G9/(1+'入力条件'!$C$13)^B9)</x:f>
        <x:v>1185971.1757831555</x:v>
      </x:c>
      <x:c r="N9" s="13" t="n">
        <x:f>IF(B9="","",H9/(1+'入力条件'!$C$13)^B9)</x:f>
        <x:v>2588356.3552470105</x:v>
      </x:c>
    </x:row>
    <x:row r="10" ht="24" customHeight="1">
      <x:c r="A10" s="1"/>
      <x:c r="B10" s="1" t="n">
        <x:f>IF(AND('入力条件'!$C$31="計算可",4&lt;='入力条件'!$C$12),4,"")</x:f>
        <x:v>4</x:v>
      </x:c>
      <x:c r="C10" s="12" t="n">
        <x:f>IF(AND('入力条件'!$C$31="計算可",4&lt;='入力条件'!$C$12),'入力条件'!$C$7*'入力条件'!$C$8*(1-'入力条件'!$C$14)^(B10-1),"")</x:f>
        <x:v>216716.4725</x:v>
      </x:c>
      <x:c r="D10" s="12" t="n">
        <x:f>IF(AND('入力条件'!$C$31="計算可",4&lt;='入力条件'!$C$12),MIN('入力条件'!$C$6,C10*'入力条件'!$C$9),"")</x:f>
        <x:v>184209.001625</x:v>
      </x:c>
      <x:c r="E10" s="14" t="n">
        <x:f>IF(AND('入力条件'!$C$31="計算可",4&lt;='入力条件'!$C$12),'入力条件'!$C$10*(1+'入力条件'!$C$11)^(B10-1),"")</x:f>
        <x:v>25</x:v>
      </x:c>
      <x:c r="F10" s="12" t="n">
        <x:f>IF(AND('入力条件'!$C$31="計算可",4&lt;='入力条件'!$C$12),D10*E10+(C10-D10)*'入力条件'!$C$20-'入力条件'!$C$17-IF(B10='入力条件'!$C$18,'入力条件'!$C$19,0)-IF(B10='入力条件'!$C$12,'入力条件'!$C$27,0),"")</x:f>
        <x:v>4305225.040625</x:v>
      </x:c>
      <x:c r="G10" s="12" t="n">
        <x:f>IF(AND('入力条件'!$C$31="計算可",4&lt;='入力条件'!$C$12),D10*E10-IF('入力条件'!$C$24=1,C10,D10)*'入力条件'!$C$21*(1+'入力条件'!$C$22)^(B10-1)-'入力条件'!$C$23-IF(B10='入力条件'!$C$12,'入力条件'!$C$28,0),"")</x:f>
        <x:v>1289463.0113750002</x:v>
      </x:c>
      <x:c r="H10" s="12" t="n">
        <x:f>IF(AND('入力条件'!$C$31="計算可",4&lt;='入力条件'!$C$12),D10*E10+(C10-D10)*'入力条件'!$C$20-'入力条件'!$C$25-'入力条件'!$C$26-IF(B10='入力条件'!$C$12,'入力条件'!$C$29,0),"")</x:f>
        <x:v>2805225.0406250004</x:v>
      </x:c>
      <x:c r="I10" s="12" t="n">
        <x:f>IF(AND('入力条件'!$C$31="計算可",4&lt;='入力条件'!$C$12),I9+F10,"")</x:f>
        <x:v>-12639783.084375</x:v>
      </x:c>
      <x:c r="J10" s="12" t="n">
        <x:f>IF(AND('入力条件'!$C$31="計算可",4&lt;='入力条件'!$C$12),J9+G10,"")</x:f>
        <x:v>5196860.736375</x:v>
      </x:c>
      <x:c r="K10" s="12" t="n">
        <x:f>IF(AND('入力条件'!$C$31="計算可",4&lt;='入力条件'!$C$12),K9+H10,"")</x:f>
        <x:v>11360216.915625</x:v>
      </x:c>
      <x:c r="L10" s="12" t="n">
        <x:f>IF(AND('入力条件'!$C$31="計算可",4&lt;='入力条件'!$C$12),F10/(1+'入力条件'!$C$13)^B10,"")</x:f>
        <x:v>3825136.686957608</x:v>
      </x:c>
      <x:c r="M10" s="13" t="n">
        <x:f>IF(B10="","",G10/(1+'入力条件'!$C$13)^B10)</x:f>
        <x:v>1145671.1843730481</x:v>
      </x:c>
      <x:c r="N10" s="13" t="n">
        <x:f>IF(B10="","",H10/(1+'入力条件'!$C$13)^B10)</x:f>
        <x:v>2492406.115084075</x:v>
      </x:c>
    </x:row>
    <x:row r="11" ht="24" customHeight="1">
      <x:c r="A11" s="1"/>
      <x:c r="B11" s="1" t="n">
        <x:f>IF(AND('入力条件'!$C$31="計算可",5&lt;='入力条件'!$C$12),5,"")</x:f>
        <x:v>5</x:v>
      </x:c>
      <x:c r="C11" s="12" t="n">
        <x:f>IF(AND('入力条件'!$C$31="計算可",5&lt;='入力条件'!$C$12),'入力条件'!$C$7*'入力条件'!$C$8*(1-'入力条件'!$C$14)^(B11-1),"")</x:f>
        <x:v>215632.89013749998</x:v>
      </x:c>
      <x:c r="D11" s="12" t="n">
        <x:f>IF(AND('入力条件'!$C$31="計算可",5&lt;='入力条件'!$C$12),MIN('入力条件'!$C$6,C11*'入力条件'!$C$9),"")</x:f>
        <x:v>183287.956616875</x:v>
      </x:c>
      <x:c r="E11" s="14" t="n">
        <x:f>IF(AND('入力条件'!$C$31="計算可",5&lt;='入力条件'!$C$12),'入力条件'!$C$10*(1+'入力条件'!$C$11)^(B11-1),"")</x:f>
        <x:v>25</x:v>
      </x:c>
      <x:c r="F11" s="12" t="n">
        <x:f>IF(AND('入力条件'!$C$31="計算可",5&lt;='入力条件'!$C$12),D11*E11+(C11-D11)*'入力条件'!$C$20-'入力条件'!$C$17-IF(B11='入力条件'!$C$18,'入力条件'!$C$19,0)-IF(B11='入力条件'!$C$12,'入力条件'!$C$27,0),"")</x:f>
        <x:v>4282198.915421874</x:v>
      </x:c>
      <x:c r="G11" s="12" t="n">
        <x:f>IF(AND('入力条件'!$C$31="計算可",5&lt;='入力条件'!$C$12),D11*E11-IF('入力条件'!$C$24=1,C11,D11)*'入力条件'!$C$21*(1+'入力条件'!$C$22)^(B11-1)-'入力条件'!$C$23-IF(B11='入力条件'!$C$12,'入力条件'!$C$28,0),"")</x:f>
        <x:v>1283015.6963181244</x:v>
      </x:c>
      <x:c r="H11" s="12" t="n">
        <x:f>IF(AND('入力条件'!$C$31="計算可",5&lt;='入力条件'!$C$12),D11*E11+(C11-D11)*'入力条件'!$C$20-'入力条件'!$C$25-'入力条件'!$C$26-IF(B11='入力条件'!$C$12,'入力条件'!$C$29,0),"")</x:f>
        <x:v>2782198.9154218743</x:v>
      </x:c>
      <x:c r="I11" s="12" t="n">
        <x:f>IF(AND('入力条件'!$C$31="計算可",5&lt;='入力条件'!$C$12),I10+F11,"")</x:f>
        <x:v>-8357584.168953125</x:v>
      </x:c>
      <x:c r="J11" s="12" t="n">
        <x:f>IF(AND('入力条件'!$C$31="計算可",5&lt;='入力条件'!$C$12),J10+G11,"")</x:f>
        <x:v>6479876.432693125</x:v>
      </x:c>
      <x:c r="K11" s="12" t="n">
        <x:f>IF(AND('入力条件'!$C$31="計算可",5&lt;='入力条件'!$C$12),K10+H11,"")</x:f>
        <x:v>14142415.831046876</x:v>
      </x:c>
      <x:c r="L11" s="12" t="n">
        <x:f>IF(AND('入力条件'!$C$31="計算可",5&lt;='入力条件'!$C$12),F11/(1+'入力条件'!$C$13)^B11,"")</x:f>
        <x:v>3693862.4009232484</x:v>
      </x:c>
      <x:c r="M11" s="13" t="n">
        <x:f>IF(B11="","",G11/(1+'入力条件'!$C$13)^B11)</x:f>
        <x:v>1106740.6101467789</x:v>
      </x:c>
      <x:c r="N11" s="13" t="n">
        <x:f>IF(B11="","",H11/(1+'入力条件'!$C$13)^B11)</x:f>
        <x:v>2399949.2243470023</x:v>
      </x:c>
    </x:row>
    <x:row r="12" ht="24" customHeight="1">
      <x:c r="A12" s="1"/>
      <x:c r="B12" s="1" t="n">
        <x:f>IF(AND('入力条件'!$C$31="計算可",6&lt;='入力条件'!$C$12),6,"")</x:f>
        <x:v>6</x:v>
      </x:c>
      <x:c r="C12" s="12" t="n">
        <x:f>IF(AND('入力条件'!$C$31="計算可",6&lt;='入力条件'!$C$12),'入力条件'!$C$7*'入力条件'!$C$8*(1-'入力条件'!$C$14)^(B12-1),"")</x:f>
        <x:v>214554.72568681248</x:v>
      </x:c>
      <x:c r="D12" s="12" t="n">
        <x:f>IF(AND('入力条件'!$C$31="計算可",6&lt;='入力条件'!$C$12),MIN('入力条件'!$C$6,C12*'入力条件'!$C$9),"")</x:f>
        <x:v>182371.5168337906</x:v>
      </x:c>
      <x:c r="E12" s="14" t="n">
        <x:f>IF(AND('入力条件'!$C$31="計算可",6&lt;='入力条件'!$C$12),'入力条件'!$C$10*(1+'入力条件'!$C$11)^(B12-1),"")</x:f>
        <x:v>25</x:v>
      </x:c>
      <x:c r="F12" s="12" t="n">
        <x:f>IF(AND('入力条件'!$C$31="計算可",6&lt;='入力条件'!$C$12),D12*E12+(C12-D12)*'入力条件'!$C$20-'入力条件'!$C$17-IF(B12='入力条件'!$C$18,'入力条件'!$C$19,0)-IF(B12='入力条件'!$C$12,'入力条件'!$C$27,0),"")</x:f>
        <x:v>4259287.920844765</x:v>
      </x:c>
      <x:c r="G12" s="12" t="n">
        <x:f>IF(AND('入力条件'!$C$31="計算可",6&lt;='入力条件'!$C$12),D12*E12-IF('入力条件'!$C$24=1,C12,D12)*'入力条件'!$C$21*(1+'入力条件'!$C$22)^(B12-1)-'入力条件'!$C$23-IF(B12='入力条件'!$C$12,'入力条件'!$C$28,0),"")</x:f>
        <x:v>1276600.6178365345</x:v>
      </x:c>
      <x:c r="H12" s="12" t="n">
        <x:f>IF(AND('入力条件'!$C$31="計算可",6&lt;='入力条件'!$C$12),D12*E12+(C12-D12)*'入力条件'!$C$20-'入力条件'!$C$25-'入力条件'!$C$26-IF(B12='入力条件'!$C$12,'入力条件'!$C$29,0),"")</x:f>
        <x:v>2759287.9208447654</x:v>
      </x:c>
      <x:c r="I12" s="12" t="n">
        <x:f>IF(AND('入力条件'!$C$31="計算可",6&lt;='入力条件'!$C$12),I11+F12,"")</x:f>
        <x:v>-4098296.24810836</x:v>
      </x:c>
      <x:c r="J12" s="12" t="n">
        <x:f>IF(AND('入力条件'!$C$31="計算可",6&lt;='入力条件'!$C$12),J11+G12,"")</x:f>
        <x:v>7756477.050529659</x:v>
      </x:c>
      <x:c r="K12" s="12" t="n">
        <x:f>IF(AND('入力条件'!$C$31="計算可",6&lt;='入力条件'!$C$12),K11+H12,"")</x:f>
        <x:v>16901703.751891643</x:v>
      </x:c>
      <x:c r="L12" s="12" t="n">
        <x:f>IF(AND('入力条件'!$C$31="計算可",6&lt;='入力条件'!$C$12),F12/(1+'入力条件'!$C$13)^B12,"")</x:f>
        <x:v>3567086.5783903454</x:v>
      </x:c>
      <x:c r="M12" s="13" t="n">
        <x:f>IF(B12="","",G12/(1+'入力条件'!$C$13)^B12)</x:f>
        <x:v>1069132.9195107238</x:v>
      </x:c>
      <x:c r="N12" s="13" t="n">
        <x:f>IF(B12="","",H12/(1+'入力条件'!$C$13)^B12)</x:f>
        <x:v>2310860.193364864</x:v>
      </x:c>
    </x:row>
    <x:row r="13" ht="24" customHeight="1">
      <x:c r="A13" s="1"/>
      <x:c r="B13" s="1" t="n">
        <x:f>IF(AND('入力条件'!$C$31="計算可",7&lt;='入力条件'!$C$12),7,"")</x:f>
        <x:v>7</x:v>
      </x:c>
      <x:c r="C13" s="12" t="n">
        <x:f>IF(AND('入力条件'!$C$31="計算可",7&lt;='入力条件'!$C$12),'入力条件'!$C$7*'入力条件'!$C$8*(1-'入力条件'!$C$14)^(B13-1),"")</x:f>
        <x:v>213481.95205837843</x:v>
      </x:c>
      <x:c r="D13" s="12" t="n">
        <x:f>IF(AND('入力条件'!$C$31="計算可",7&lt;='入力条件'!$C$12),MIN('入力条件'!$C$6,C13*'入力条件'!$C$9),"")</x:f>
        <x:v>181459.65924962168</x:v>
      </x:c>
      <x:c r="E13" s="14" t="n">
        <x:f>IF(AND('入力条件'!$C$31="計算可",7&lt;='入力条件'!$C$12),'入力条件'!$C$10*(1+'入力条件'!$C$11)^(B13-1),"")</x:f>
        <x:v>25</x:v>
      </x:c>
      <x:c r="F13" s="12" t="n">
        <x:f>IF(AND('入力条件'!$C$31="計算可",7&lt;='入力条件'!$C$12),D13*E13+(C13-D13)*'入力条件'!$C$20-'入力条件'!$C$17-IF(B13='入力条件'!$C$18,'入力条件'!$C$19,0)-IF(B13='入力条件'!$C$12,'入力条件'!$C$27,0),"")</x:f>
        <x:v>4236491.481240542</x:v>
      </x:c>
      <x:c r="G13" s="12" t="n">
        <x:f>IF(AND('入力条件'!$C$31="計算可",7&lt;='入力条件'!$C$12),D13*E13-IF('入力条件'!$C$24=1,C13,D13)*'入力条件'!$C$21*(1+'入力条件'!$C$22)^(B13-1)-'入力条件'!$C$23-IF(B13='入力条件'!$C$12,'入力条件'!$C$28,0),"")</x:f>
        <x:v>1270217.6147473515</x:v>
      </x:c>
      <x:c r="H13" s="12" t="n">
        <x:f>IF(AND('入力条件'!$C$31="計算可",7&lt;='入力条件'!$C$12),D13*E13+(C13-D13)*'入力条件'!$C$20-'入力条件'!$C$25-'入力条件'!$C$26-IF(B13='入力条件'!$C$12,'入力条件'!$C$29,0),"")</x:f>
        <x:v>2736491.4812405417</x:v>
      </x:c>
      <x:c r="I13" s="12" t="n">
        <x:f>IF(AND('入力条件'!$C$31="計算可",7&lt;='入力条件'!$C$12),I12+F13,"")</x:f>
        <x:v>138195.2331321817</x:v>
      </x:c>
      <x:c r="J13" s="12" t="n">
        <x:f>IF(AND('入力条件'!$C$31="計算可",7&lt;='入力条件'!$C$12),J12+G13,"")</x:f>
        <x:v>9026694.66527701</x:v>
      </x:c>
      <x:c r="K13" s="12" t="n">
        <x:f>IF(AND('入力条件'!$C$31="計算可",7&lt;='入力条件'!$C$12),K12+H13,"")</x:f>
        <x:v>19638195.233132184</x:v>
      </x:c>
      <x:c r="L13" s="12" t="n">
        <x:f>IF(AND('入力条件'!$C$31="計算可",7&lt;='入力条件'!$C$12),F13/(1+'入力条件'!$C$13)^B13,"")</x:f>
        <x:v>3444655.261275115</x:v>
      </x:c>
      <x:c r="M13" s="13" t="n">
        <x:f>IF(B13="","",G13/(1+'入力条件'!$C$13)^B13)</x:f>
        <x:v>1032803.1601098737</x:v>
      </x:c>
      <x:c r="N13" s="13" t="n">
        <x:f>IF(B13="","",H13/(1+'入力条件'!$C$13)^B13)</x:f>
        <x:v>2225017.9942600843</x:v>
      </x:c>
    </x:row>
    <x:row r="14" ht="24" customHeight="1">
      <x:c r="A14" s="1"/>
      <x:c r="B14" s="1" t="n">
        <x:f>IF(AND('入力条件'!$C$31="計算可",8&lt;='入力条件'!$C$12),8,"")</x:f>
        <x:v>8</x:v>
      </x:c>
      <x:c r="C14" s="12" t="n">
        <x:f>IF(AND('入力条件'!$C$31="計算可",8&lt;='入力条件'!$C$12),'入力条件'!$C$7*'入力条件'!$C$8*(1-'入力条件'!$C$14)^(B14-1),"")</x:f>
        <x:v>212414.54229808654</x:v>
      </x:c>
      <x:c r="D14" s="12" t="n">
        <x:f>IF(AND('入力条件'!$C$31="計算可",8&lt;='入力条件'!$C$12),MIN('入力条件'!$C$6,C14*'入力条件'!$C$9),"")</x:f>
        <x:v>180552.36095337354</x:v>
      </x:c>
      <x:c r="E14" s="14" t="n">
        <x:f>IF(AND('入力条件'!$C$31="計算可",8&lt;='入力条件'!$C$12),'入力条件'!$C$10*(1+'入力条件'!$C$11)^(B14-1),"")</x:f>
        <x:v>25</x:v>
      </x:c>
      <x:c r="F14" s="12" t="n">
        <x:f>IF(AND('入力条件'!$C$31="計算可",8&lt;='入力条件'!$C$12),D14*E14+(C14-D14)*'入力条件'!$C$20-'入力条件'!$C$17-IF(B14='入力条件'!$C$18,'入力条件'!$C$19,0)-IF(B14='入力条件'!$C$12,'入力条件'!$C$27,0),"")</x:f>
        <x:v>4213809.023834338</x:v>
      </x:c>
      <x:c r="G14" s="12" t="n">
        <x:f>IF(AND('入力条件'!$C$31="計算可",8&lt;='入力条件'!$C$12),D14*E14-IF('入力条件'!$C$24=1,C14,D14)*'入力条件'!$C$21*(1+'入力条件'!$C$22)^(B14-1)-'入力条件'!$C$23-IF(B14='入力条件'!$C$12,'入力条件'!$C$28,0),"")</x:f>
        <x:v>1263866.5266736145</x:v>
      </x:c>
      <x:c r="H14" s="12" t="n">
        <x:f>IF(AND('入力条件'!$C$31="計算可",8&lt;='入力条件'!$C$12),D14*E14+(C14-D14)*'入力条件'!$C$20-'入力条件'!$C$25-'入力条件'!$C$26-IF(B14='入力条件'!$C$12,'入力条件'!$C$29,0),"")</x:f>
        <x:v>2713809.0238343384</x:v>
      </x:c>
      <x:c r="I14" s="12" t="n">
        <x:f>IF(AND('入力条件'!$C$31="計算可",8&lt;='入力条件'!$C$12),I13+F14,"")</x:f>
        <x:v>4352004.25696652</x:v>
      </x:c>
      <x:c r="J14" s="12" t="n">
        <x:f>IF(AND('入力条件'!$C$31="計算可",8&lt;='入力条件'!$C$12),J13+G14,"")</x:f>
        <x:v>10290561.191950625</x:v>
      </x:c>
      <x:c r="K14" s="12" t="n">
        <x:f>IF(AND('入力条件'!$C$31="計算可",8&lt;='入力条件'!$C$12),K13+H14,"")</x:f>
        <x:v>22352004.256966524</x:v>
      </x:c>
      <x:c r="L14" s="12" t="n">
        <x:f>IF(AND('入力条件'!$C$31="計算可",8&lt;='入力条件'!$C$12),F14/(1+'入力条件'!$C$13)^B14,"")</x:f>
        <x:v>3326419.7550502173</x:v>
      </x:c>
      <x:c r="M14" s="13" t="n">
        <x:f>IF(B14="","",G14/(1+'入力条件'!$C$13)^B14)</x:f>
        <x:v>997707.9070964311</x:v>
      </x:c>
      <x:c r="N14" s="13" t="n">
        <x:f>IF(B14="","",H14/(1+'入力条件'!$C$13)^B14)</x:f>
        <x:v>2142305.903579314</x:v>
      </x:c>
    </x:row>
    <x:row r="15" ht="24" customHeight="1">
      <x:c r="A15" s="1"/>
      <x:c r="B15" s="1" t="n">
        <x:f>IF(AND('入力条件'!$C$31="計算可",9&lt;='入力条件'!$C$12),9,"")</x:f>
        <x:v>9</x:v>
      </x:c>
      <x:c r="C15" s="12" t="n">
        <x:f>IF(AND('入力条件'!$C$31="計算可",9&lt;='入力条件'!$C$12),'入力条件'!$C$7*'入力条件'!$C$8*(1-'入力条件'!$C$14)^(B15-1),"")</x:f>
        <x:v>211352.4695865961</x:v>
      </x:c>
      <x:c r="D15" s="12" t="n">
        <x:f>IF(AND('入力条件'!$C$31="計算可",9&lt;='入力条件'!$C$12),MIN('入力条件'!$C$6,C15*'入力条件'!$C$9),"")</x:f>
        <x:v>179649.59914860668</x:v>
      </x:c>
      <x:c r="E15" s="14" t="n">
        <x:f>IF(AND('入力条件'!$C$31="計算可",9&lt;='入力条件'!$C$12),'入力条件'!$C$10*(1+'入力条件'!$C$11)^(B15-1),"")</x:f>
        <x:v>25</x:v>
      </x:c>
      <x:c r="F15" s="12" t="n">
        <x:f>IF(AND('入力条件'!$C$31="計算可",9&lt;='入力条件'!$C$12),D15*E15+(C15-D15)*'入力条件'!$C$20-'入力条件'!$C$17-IF(B15='入力条件'!$C$18,'入力条件'!$C$19,0)-IF(B15='入力条件'!$C$12,'入力条件'!$C$27,0),"")</x:f>
        <x:v>4191239.9787151674</x:v>
      </x:c>
      <x:c r="G15" s="12" t="n">
        <x:f>IF(AND('入力条件'!$C$31="計算可",9&lt;='入力条件'!$C$12),D15*E15-IF('入力条件'!$C$24=1,C15,D15)*'入力条件'!$C$21*(1+'入力条件'!$C$22)^(B15-1)-'入力条件'!$C$23-IF(B15='入力条件'!$C$12,'入力条件'!$C$28,0),"")</x:f>
        <x:v>1257547.1940402472</x:v>
      </x:c>
      <x:c r="H15" s="12" t="n">
        <x:f>IF(AND('入力条件'!$C$31="計算可",9&lt;='入力条件'!$C$12),D15*E15+(C15-D15)*'入力条件'!$C$20-'入力条件'!$C$25-'入力条件'!$C$26-IF(B15='入力条件'!$C$12,'入力条件'!$C$29,0),"")</x:f>
        <x:v>2691239.9787151674</x:v>
      </x:c>
      <x:c r="I15" s="12" t="n">
        <x:f>IF(AND('入力条件'!$C$31="計算可",9&lt;='入力条件'!$C$12),I14+F15,"")</x:f>
        <x:v>8543244.235681687</x:v>
      </x:c>
      <x:c r="J15" s="12" t="n">
        <x:f>IF(AND('入力条件'!$C$31="計算可",9&lt;='入力条件'!$C$12),J14+G15,"")</x:f>
        <x:v>11548108.385990873</x:v>
      </x:c>
      <x:c r="K15" s="12" t="n">
        <x:f>IF(AND('入力条件'!$C$31="計算可",9&lt;='入力条件'!$C$12),K14+H15,"")</x:f>
        <x:v>25043244.23568169</x:v>
      </x:c>
      <x:c r="L15" s="12" t="n">
        <x:f>IF(AND('入力条件'!$C$31="計算可",9&lt;='入力条件'!$C$12),F15/(1+'入力条件'!$C$13)^B15,"")</x:f>
        <x:v>3212236.44895485</x:v>
      </x:c>
      <x:c r="M15" s="13" t="n">
        <x:f>IF(B15="","",G15/(1+'入力条件'!$C$13)^B15)</x:f>
        <x:v>963805.2112242229</x:v>
      </x:c>
      <x:c r="N15" s="13" t="n">
        <x:f>IF(B15="","",H15/(1+'入力条件'!$C$13)^B15)</x:f>
        <x:v>2062611.35043941</x:v>
      </x:c>
    </x:row>
    <x:row r="16" ht="24" customHeight="1">
      <x:c r="A16" s="1"/>
      <x:c r="B16" s="1" t="n">
        <x:f>IF(AND('入力条件'!$C$31="計算可",10&lt;='入力条件'!$C$12),10,"")</x:f>
        <x:v>10</x:v>
      </x:c>
      <x:c r="C16" s="12" t="n">
        <x:f>IF(AND('入力条件'!$C$31="計算可",10&lt;='入力条件'!$C$12),'入力条件'!$C$7*'入力条件'!$C$8*(1-'入力条件'!$C$14)^(B16-1),"")</x:f>
        <x:v>210295.7072386631</x:v>
      </x:c>
      <x:c r="D16" s="12" t="n">
        <x:f>IF(AND('入力条件'!$C$31="計算可",10&lt;='入力条件'!$C$12),MIN('入力条件'!$C$6,C16*'入力条件'!$C$9),"")</x:f>
        <x:v>178751.35115286364</x:v>
      </x:c>
      <x:c r="E16" s="14" t="n">
        <x:f>IF(AND('入力条件'!$C$31="計算可",10&lt;='入力条件'!$C$12),'入力条件'!$C$10*(1+'入力条件'!$C$11)^(B16-1),"")</x:f>
        <x:v>25</x:v>
      </x:c>
      <x:c r="F16" s="12" t="n">
        <x:f>IF(AND('入力条件'!$C$31="計算可",10&lt;='入力条件'!$C$12),D16*E16+(C16-D16)*'入力条件'!$C$20-'入力条件'!$C$17-IF(B16='入力条件'!$C$18,'入力条件'!$C$19,0)-IF(B16='入力条件'!$C$12,'入力条件'!$C$27,0),"")</x:f>
        <x:v>4168783.7788215913</x:v>
      </x:c>
      <x:c r="G16" s="12" t="n">
        <x:f>IF(AND('入力条件'!$C$31="計算可",10&lt;='入力条件'!$C$12),D16*E16-IF('入力条件'!$C$24=1,C16,D16)*'入力条件'!$C$21*(1+'入力条件'!$C$22)^(B16-1)-'入力条件'!$C$23-IF(B16='入力条件'!$C$12,'入力条件'!$C$28,0),"")</x:f>
        <x:v>1251259.4580700458</x:v>
      </x:c>
      <x:c r="H16" s="12" t="n">
        <x:f>IF(AND('入力条件'!$C$31="計算可",10&lt;='入力条件'!$C$12),D16*E16+(C16-D16)*'入力条件'!$C$20-'入力条件'!$C$25-'入力条件'!$C$26-IF(B16='入力条件'!$C$12,'入力条件'!$C$29,0),"")</x:f>
        <x:v>2668783.7788215913</x:v>
      </x:c>
      <x:c r="I16" s="12" t="n">
        <x:f>IF(AND('入力条件'!$C$31="計算可",10&lt;='入力条件'!$C$12),I15+F16,"")</x:f>
        <x:v>12712028.014503278</x:v>
      </x:c>
      <x:c r="J16" s="12" t="n">
        <x:f>IF(AND('入力条件'!$C$31="計算可",10&lt;='入力条件'!$C$12),J15+G16,"")</x:f>
        <x:v>12799367.844060918</x:v>
      </x:c>
      <x:c r="K16" s="12" t="n">
        <x:f>IF(AND('入力条件'!$C$31="計算可",10&lt;='入力条件'!$C$12),K15+H16,"")</x:f>
        <x:v>27712028.01450328</x:v>
      </x:c>
      <x:c r="L16" s="12" t="n">
        <x:f>IF(AND('入力条件'!$C$31="計算可",10&lt;='入力条件'!$C$12),F16/(1+'入力条件'!$C$13)^B16,"")</x:f>
        <x:v>3101966.6423413204</x:v>
      </x:c>
      <x:c r="M16" s="13" t="n">
        <x:f>IF(B16="","",G16/(1+'入力条件'!$C$13)^B16)</x:f>
        <x:v>931054.5487068949</x:v>
      </x:c>
      <x:c r="N16" s="13" t="n">
        <x:f>IF(B16="","",H16/(1+'入力条件'!$C$13)^B16)</x:f>
        <x:v>1985825.769996233</x:v>
      </x:c>
    </x:row>
    <x:row r="17" ht="24" customHeight="1">
      <x:c r="A17" s="1"/>
      <x:c r="B17" s="1" t="n">
        <x:f>IF(AND('入力条件'!$C$31="計算可",11&lt;='入力条件'!$C$12),11,"")</x:f>
        <x:v>11</x:v>
      </x:c>
      <x:c r="C17" s="12" t="n">
        <x:f>IF(AND('入力条件'!$C$31="計算可",11&lt;='入力条件'!$C$12),'入力条件'!$C$7*'入力条件'!$C$8*(1-'入力条件'!$C$14)^(B17-1),"")</x:f>
        <x:v>209244.22870246982</x:v>
      </x:c>
      <x:c r="D17" s="12" t="n">
        <x:f>IF(AND('入力条件'!$C$31="計算可",11&lt;='入力条件'!$C$12),MIN('入力条件'!$C$6,C17*'入力条件'!$C$9),"")</x:f>
        <x:v>177857.59439709934</x:v>
      </x:c>
      <x:c r="E17" s="14" t="n">
        <x:f>IF(AND('入力条件'!$C$31="計算可",11&lt;='入力条件'!$C$12),'入力条件'!$C$10*(1+'入力条件'!$C$11)^(B17-1),"")</x:f>
        <x:v>25</x:v>
      </x:c>
      <x:c r="F17" s="12" t="n">
        <x:f>IF(AND('入力条件'!$C$31="計算可",11&lt;='入力条件'!$C$12),D17*E17+(C17-D17)*'入力条件'!$C$20-'入力条件'!$C$17-IF(B17='入力条件'!$C$18,'入力条件'!$C$19,0)-IF(B17='入力条件'!$C$12,'入力条件'!$C$27,0),"")</x:f>
        <x:v>4146439.859927484</x:v>
      </x:c>
      <x:c r="G17" s="12" t="n">
        <x:f>IF(AND('入力条件'!$C$31="計算可",11&lt;='入力条件'!$C$12),D17*E17-IF('入力条件'!$C$24=1,C17,D17)*'入力条件'!$C$21*(1+'入力条件'!$C$22)^(B17-1)-'入力条件'!$C$23-IF(B17='入力条件'!$C$12,'入力条件'!$C$28,0),"")</x:f>
        <x:v>1245003.160779696</x:v>
      </x:c>
      <x:c r="H17" s="12" t="n">
        <x:f>IF(AND('入力条件'!$C$31="計算可",11&lt;='入力条件'!$C$12),D17*E17+(C17-D17)*'入力条件'!$C$20-'入力条件'!$C$25-'入力条件'!$C$26-IF(B17='入力条件'!$C$12,'入力条件'!$C$29,0),"")</x:f>
        <x:v>2646439.859927484</x:v>
      </x:c>
      <x:c r="I17" s="12" t="n">
        <x:f>IF(AND('入力条件'!$C$31="計算可",11&lt;='入力条件'!$C$12),I16+F17,"")</x:f>
        <x:v>16858467.87443076</x:v>
      </x:c>
      <x:c r="J17" s="12" t="n">
        <x:f>IF(AND('入力条件'!$C$31="計算可",11&lt;='入力条件'!$C$12),J16+G17,"")</x:f>
        <x:v>14044371.004840614</x:v>
      </x:c>
      <x:c r="K17" s="12" t="n">
        <x:f>IF(AND('入力条件'!$C$31="計算可",11&lt;='入力条件'!$C$12),K16+H17,"")</x:f>
        <x:v>30358467.874430764</x:v>
      </x:c>
      <x:c r="L17" s="12" t="n">
        <x:f>IF(AND('入力条件'!$C$31="計算可",11&lt;='入力条件'!$C$12),F17/(1+'入力条件'!$C$13)^B17,"")</x:f>
        <x:v>2995476.376948805</x:v>
      </x:c>
      <x:c r="M17" s="13" t="n">
        <x:f>IF(B17="","",G17/(1+'入力条件'!$C$13)^B17)</x:f>
        <x:v>899416.7727799618</x:v>
      </x:c>
      <x:c r="N17" s="13" t="n">
        <x:f>IF(B17="","",H17/(1+'入力条件'!$C$13)^B17)</x:f>
        <x:v>1911844.462050662</x:v>
      </x:c>
    </x:row>
    <x:row r="18" ht="24" customHeight="1">
      <x:c r="A18" s="1"/>
      <x:c r="B18" s="1" t="n">
        <x:f>IF(AND('入力条件'!$C$31="計算可",12&lt;='入力条件'!$C$12),12,"")</x:f>
        <x:v>12</x:v>
      </x:c>
      <x:c r="C18" s="12" t="n">
        <x:f>IF(AND('入力条件'!$C$31="計算可",12&lt;='入力条件'!$C$12),'入力条件'!$C$7*'入力条件'!$C$8*(1-'入力条件'!$C$14)^(B18-1),"")</x:f>
        <x:v>208198.00755895744</x:v>
      </x:c>
      <x:c r="D18" s="12" t="n">
        <x:f>IF(AND('入力条件'!$C$31="計算可",12&lt;='入力条件'!$C$12),MIN('入力条件'!$C$6,C18*'入力条件'!$C$9),"")</x:f>
        <x:v>176968.3064251138</x:v>
      </x:c>
      <x:c r="E18" s="14" t="n">
        <x:f>IF(AND('入力条件'!$C$31="計算可",12&lt;='入力条件'!$C$12),'入力条件'!$C$10*(1+'入力条件'!$C$11)^(B18-1),"")</x:f>
        <x:v>25</x:v>
      </x:c>
      <x:c r="F18" s="12" t="n">
        <x:f>IF(AND('入力条件'!$C$31="計算可",12&lt;='入力条件'!$C$12),D18*E18+(C18-D18)*'入力条件'!$C$20-'入力条件'!$C$17-IF(B18='入力条件'!$C$18,'入力条件'!$C$19,0)-IF(B18='入力条件'!$C$12,'入力条件'!$C$27,0),"")</x:f>
        <x:v>2124207.6606278457</x:v>
      </x:c>
      <x:c r="G18" s="12" t="n">
        <x:f>IF(AND('入力条件'!$C$31="計算可",12&lt;='入力条件'!$C$12),D18*E18-IF('入力条件'!$C$24=1,C18,D18)*'入力条件'!$C$21*(1+'入力条件'!$C$22)^(B18-1)-'入力条件'!$C$23-IF(B18='入力条件'!$C$12,'入力条件'!$C$28,0),"")</x:f>
        <x:v>1238778.1449757973</x:v>
      </x:c>
      <x:c r="H18" s="12" t="n">
        <x:f>IF(AND('入力条件'!$C$31="計算可",12&lt;='入力条件'!$C$12),D18*E18+(C18-D18)*'入力条件'!$C$20-'入力条件'!$C$25-'入力条件'!$C$26-IF(B18='入力条件'!$C$12,'入力条件'!$C$29,0),"")</x:f>
        <x:v>2624207.6606278457</x:v>
      </x:c>
      <x:c r="I18" s="12" t="n">
        <x:f>IF(AND('入力条件'!$C$31="計算可",12&lt;='入力条件'!$C$12),I17+F18,"")</x:f>
        <x:v>18982675.535058606</x:v>
      </x:c>
      <x:c r="J18" s="12" t="n">
        <x:f>IF(AND('入力条件'!$C$31="計算可",12&lt;='入力条件'!$C$12),J17+G18,"")</x:f>
        <x:v>15283149.149816412</x:v>
      </x:c>
      <x:c r="K18" s="12" t="n">
        <x:f>IF(AND('入力条件'!$C$31="計算可",12&lt;='入力条件'!$C$12),K17+H18,"")</x:f>
        <x:v>32982675.53505861</x:v>
      </x:c>
      <x:c r="L18" s="12" t="n">
        <x:f>IF(AND('入力条件'!$C$31="計算可",12&lt;='入力条件'!$C$12),F18/(1+'入力条件'!$C$13)^B18,"")</x:f>
        <x:v>1489876.5145161536</x:v>
      </x:c>
      <x:c r="M18" s="13" t="n">
        <x:f>IF(B18="","",G18/(1+'入力条件'!$C$13)^B18)</x:f>
        <x:v>868854.0669087978</x:v>
      </x:c>
      <x:c r="N18" s="13" t="n">
        <x:f>IF(B18="","",H18/(1+'入力条件'!$C$13)^B18)</x:f>
        <x:v>1840566.45461264</x:v>
      </x:c>
    </x:row>
    <x:row r="19" ht="24" customHeight="1">
      <x:c r="A19" s="1"/>
      <x:c r="B19" s="1" t="n">
        <x:f>IF(AND('入力条件'!$C$31="計算可",13&lt;='入力条件'!$C$12),13,"")</x:f>
        <x:v>13</x:v>
      </x:c>
      <x:c r="C19" s="12" t="n">
        <x:f>IF(AND('入力条件'!$C$31="計算可",13&lt;='入力条件'!$C$12),'入力条件'!$C$7*'入力条件'!$C$8*(1-'入力条件'!$C$14)^(B19-1),"")</x:f>
        <x:v>207157.01752116266</x:v>
      </x:c>
      <x:c r="D19" s="12" t="n">
        <x:f>IF(AND('入力条件'!$C$31="計算可",13&lt;='入力条件'!$C$12),MIN('入力条件'!$C$6,C19*'入力条件'!$C$9),"")</x:f>
        <x:v>176083.46489298827</x:v>
      </x:c>
      <x:c r="E19" s="14" t="n">
        <x:f>IF(AND('入力条件'!$C$31="計算可",13&lt;='入力条件'!$C$12),'入力条件'!$C$10*(1+'入力条件'!$C$11)^(B19-1),"")</x:f>
        <x:v>25</x:v>
      </x:c>
      <x:c r="F19" s="12" t="n">
        <x:f>IF(AND('入力条件'!$C$31="計算可",13&lt;='入力条件'!$C$12),D19*E19+(C19-D19)*'入力条件'!$C$20-'入力条件'!$C$17-IF(B19='入力条件'!$C$18,'入力条件'!$C$19,0)-IF(B19='入力条件'!$C$12,'入力条件'!$C$27,0),"")</x:f>
        <x:v>4102086.622324707</x:v>
      </x:c>
      <x:c r="G19" s="12" t="n">
        <x:f>IF(AND('入力条件'!$C$31="計算可",13&lt;='入力条件'!$C$12),D19*E19-IF('入力条件'!$C$24=1,C19,D19)*'入力条件'!$C$21*(1+'入力条件'!$C$22)^(B19-1)-'入力条件'!$C$23-IF(B19='入力条件'!$C$12,'入力条件'!$C$28,0),"")</x:f>
        <x:v>1232584.254250918</x:v>
      </x:c>
      <x:c r="H19" s="12" t="n">
        <x:f>IF(AND('入力条件'!$C$31="計算可",13&lt;='入力条件'!$C$12),D19*E19+(C19-D19)*'入力条件'!$C$20-'入力条件'!$C$25-'入力条件'!$C$26-IF(B19='入力条件'!$C$12,'入力条件'!$C$29,0),"")</x:f>
        <x:v>2602086.622324707</x:v>
      </x:c>
      <x:c r="I19" s="12" t="n">
        <x:f>IF(AND('入力条件'!$C$31="計算可",13&lt;='入力条件'!$C$12),I18+F19,"")</x:f>
        <x:v>23084762.157383315</x:v>
      </x:c>
      <x:c r="J19" s="12" t="n">
        <x:f>IF(AND('入力条件'!$C$31="計算可",13&lt;='入力条件'!$C$12),J18+G19,"")</x:f>
        <x:v>16515733.40406733</x:v>
      </x:c>
      <x:c r="K19" s="12" t="n">
        <x:f>IF(AND('入力条件'!$C$31="計算可",13&lt;='入力条件'!$C$12),K18+H19,"")</x:f>
        <x:v>35584762.157383315</x:v>
      </x:c>
      <x:c r="L19" s="12" t="n">
        <x:f>IF(AND('入力条件'!$C$31="計算可",13&lt;='入力条件'!$C$12),F19/(1+'入力条件'!$C$13)^B19,"")</x:f>
        <x:v>2793321.3822400966</x:v>
      </x:c>
      <x:c r="M19" s="13" t="n">
        <x:f>IF(B19="","",G19/(1+'入力条件'!$C$13)^B19)</x:f>
        <x:v>839329.899586654</x:v>
      </x:c>
      <x:c r="N19" s="13" t="n">
        <x:f>IF(B19="","",H19/(1+'入力条件'!$C$13)^B19)</x:f>
        <x:v>1771894.3722503304</x:v>
      </x:c>
    </x:row>
    <x:row r="20" ht="24" customHeight="1">
      <x:c r="A20" s="1"/>
      <x:c r="B20" s="1" t="n">
        <x:f>IF(AND('入力条件'!$C$31="計算可",14&lt;='入力条件'!$C$12),14,"")</x:f>
        <x:v>14</x:v>
      </x:c>
      <x:c r="C20" s="12" t="n">
        <x:f>IF(AND('入力条件'!$C$31="計算可",14&lt;='入力条件'!$C$12),'入力条件'!$C$7*'入力条件'!$C$8*(1-'入力条件'!$C$14)^(B20-1),"")</x:f>
        <x:v>206121.23243355687</x:v>
      </x:c>
      <x:c r="D20" s="12" t="n">
        <x:f>IF(AND('入力条件'!$C$31="計算可",14&lt;='入力条件'!$C$12),MIN('入力条件'!$C$6,C20*'入力条件'!$C$9),"")</x:f>
        <x:v>175203.04756852333</x:v>
      </x:c>
      <x:c r="E20" s="14" t="n">
        <x:f>IF(AND('入力条件'!$C$31="計算可",14&lt;='入力条件'!$C$12),'入力条件'!$C$10*(1+'入力条件'!$C$11)^(B20-1),"")</x:f>
        <x:v>25</x:v>
      </x:c>
      <x:c r="F20" s="12" t="n">
        <x:f>IF(AND('入力条件'!$C$31="計算可",14&lt;='入力条件'!$C$12),D20*E20+(C20-D20)*'入力条件'!$C$20-'入力条件'!$C$17-IF(B20='入力条件'!$C$18,'入力条件'!$C$19,0)-IF(B20='入力条件'!$C$12,'入力条件'!$C$27,0),"")</x:f>
        <x:v>4080076.189213083</x:v>
      </x:c>
      <x:c r="G20" s="12" t="n">
        <x:f>IF(AND('入力条件'!$C$31="計算可",14&lt;='入力条件'!$C$12),D20*E20-IF('入力条件'!$C$24=1,C20,D20)*'入力条件'!$C$21*(1+'入力条件'!$C$22)^(B20-1)-'入力条件'!$C$23-IF(B20='入力条件'!$C$12,'入力条件'!$C$28,0),"")</x:f>
        <x:v>1226421.3329796633</x:v>
      </x:c>
      <x:c r="H20" s="12" t="n">
        <x:f>IF(AND('入力条件'!$C$31="計算可",14&lt;='入力条件'!$C$12),D20*E20+(C20-D20)*'入力条件'!$C$20-'入力条件'!$C$25-'入力条件'!$C$26-IF(B20='入力条件'!$C$12,'入力条件'!$C$29,0),"")</x:f>
        <x:v>2580076.189213083</x:v>
      </x:c>
      <x:c r="I20" s="12" t="n">
        <x:f>IF(AND('入力条件'!$C$31="計算可",14&lt;='入力条件'!$C$12),I19+F20,"")</x:f>
        <x:v>27164838.346596397</x:v>
      </x:c>
      <x:c r="J20" s="12" t="n">
        <x:f>IF(AND('入力条件'!$C$31="計算可",14&lt;='入力条件'!$C$12),J19+G20,"")</x:f>
        <x:v>17742154.737046994</x:v>
      </x:c>
      <x:c r="K20" s="12" t="n">
        <x:f>IF(AND('入力条件'!$C$31="計算可",14&lt;='入力条件'!$C$12),K19+H20,"")</x:f>
        <x:v>38164838.3465964</x:v>
      </x:c>
      <x:c r="L20" s="12" t="n">
        <x:f>IF(AND('入力条件'!$C$31="計算可",14&lt;='入力条件'!$C$12),F20/(1+'入力条件'!$C$13)^B20,"")</x:f>
        <x:v>2697411.0177853457</x:v>
      </x:c>
      <x:c r="M20" s="13" t="n">
        <x:f>IF(B20="","",G20/(1+'入力条件'!$C$13)^B20)</x:f>
        <x:v>810808.9806686607</x:v>
      </x:c>
      <x:c r="N20" s="13" t="n">
        <x:f>IF(B20="","",H20/(1+'入力条件'!$C$13)^B20)</x:f>
        <x:v>1705734.3090574173</x:v>
      </x:c>
    </x:row>
    <x:row r="21" ht="24" customHeight="1">
      <x:c r="A21" s="1"/>
      <x:c r="B21" s="1" t="n">
        <x:f>IF(AND('入力条件'!$C$31="計算可",15&lt;='入力条件'!$C$12),15,"")</x:f>
        <x:v>15</x:v>
      </x:c>
      <x:c r="C21" s="12" t="n">
        <x:f>IF(AND('入力条件'!$C$31="計算可",15&lt;='入力条件'!$C$12),'入力条件'!$C$7*'入力条件'!$C$8*(1-'入力条件'!$C$14)^(B21-1),"")</x:f>
        <x:v>205090.62627138908</x:v>
      </x:c>
      <x:c r="D21" s="12" t="n">
        <x:f>IF(AND('入力条件'!$C$31="計算可",15&lt;='入力条件'!$C$12),MIN('入力条件'!$C$6,C21*'入力条件'!$C$9),"")</x:f>
        <x:v>174327.0323306807</x:v>
      </x:c>
      <x:c r="E21" s="14" t="n">
        <x:f>IF(AND('入力条件'!$C$31="計算可",15&lt;='入力条件'!$C$12),'入力条件'!$C$10*(1+'入力条件'!$C$11)^(B21-1),"")</x:f>
        <x:v>25</x:v>
      </x:c>
      <x:c r="F21" s="12" t="n">
        <x:f>IF(AND('入力条件'!$C$31="計算可",15&lt;='入力条件'!$C$12),D21*E21+(C21-D21)*'入力条件'!$C$20-'入力条件'!$C$17-IF(B21='入力条件'!$C$18,'入力条件'!$C$19,0)-IF(B21='入力条件'!$C$12,'入力条件'!$C$27,0),"")</x:f>
        <x:v>4058175.808267018</x:v>
      </x:c>
      <x:c r="G21" s="12" t="n">
        <x:f>IF(AND('入力条件'!$C$31="計算可",15&lt;='入力条件'!$C$12),D21*E21-IF('入力条件'!$C$24=1,C21,D21)*'入力条件'!$C$21*(1+'入力条件'!$C$22)^(B21-1)-'入力条件'!$C$23-IF(B21='入力条件'!$C$12,'入力条件'!$C$28,0),"")</x:f>
        <x:v>1220289.2263147654</x:v>
      </x:c>
      <x:c r="H21" s="12" t="n">
        <x:f>IF(AND('入力条件'!$C$31="計算可",15&lt;='入力条件'!$C$12),D21*E21+(C21-D21)*'入力条件'!$C$20-'入力条件'!$C$25-'入力条件'!$C$26-IF(B21='入力条件'!$C$12,'入力条件'!$C$29,0),"")</x:f>
        <x:v>2558175.808267018</x:v>
      </x:c>
      <x:c r="I21" s="12" t="n">
        <x:f>IF(AND('入力条件'!$C$31="計算可",15&lt;='入力条件'!$C$12),I20+F21,"")</x:f>
        <x:v>31223014.154863417</x:v>
      </x:c>
      <x:c r="J21" s="12" t="n">
        <x:f>IF(AND('入力条件'!$C$31="計算可",15&lt;='入力条件'!$C$12),J20+G21,"")</x:f>
        <x:v>18962443.96336176</x:v>
      </x:c>
      <x:c r="K21" s="12" t="n">
        <x:f>IF(AND('入力条件'!$C$31="計算可",15&lt;='入力条件'!$C$12),K20+H21,"")</x:f>
        <x:v>40723014.15486342</x:v>
      </x:c>
      <x:c r="L21" s="12" t="n">
        <x:f>IF(AND('入力条件'!$C$31="計算可",15&lt;='入力条件'!$C$12),F21/(1+'入力条件'!$C$13)^B21,"")</x:f>
        <x:v>2604788.6271725157</x:v>
      </x:c>
      <x:c r="M21" s="13" t="n">
        <x:f>IF(B21="","",G21/(1+'入力条件'!$C$13)^B21)</x:f>
        <x:v>783257.219189629</x:v>
      </x:c>
      <x:c r="N21" s="13" t="n">
        <x:f>IF(B21="","",H21/(1+'入力条件'!$C$13)^B21)</x:f>
        <x:v>1641995.7060774397</x:v>
      </x:c>
    </x:row>
    <x:row r="22" ht="24" customHeight="1">
      <x:c r="A22" s="1"/>
      <x:c r="B22" s="1" t="n">
        <x:f>IF(AND('入力条件'!$C$31="計算可",16&lt;='入力条件'!$C$12),16,"")</x:f>
        <x:v>16</x:v>
      </x:c>
      <x:c r="C22" s="12" t="n">
        <x:f>IF(AND('入力条件'!$C$31="計算可",16&lt;='入力条件'!$C$12),'入力条件'!$C$7*'入力条件'!$C$8*(1-'入力条件'!$C$14)^(B22-1),"")</x:f>
        <x:v>204065.17314003213</x:v>
      </x:c>
      <x:c r="D22" s="12" t="n">
        <x:f>IF(AND('入力条件'!$C$31="計算可",16&lt;='入力条件'!$C$12),MIN('入力条件'!$C$6,C22*'入力条件'!$C$9),"")</x:f>
        <x:v>173455.3971690273</x:v>
      </x:c>
      <x:c r="E22" s="14" t="n">
        <x:f>IF(AND('入力条件'!$C$31="計算可",16&lt;='入力条件'!$C$12),'入力条件'!$C$10*(1+'入力条件'!$C$11)^(B22-1),"")</x:f>
        <x:v>25</x:v>
      </x:c>
      <x:c r="F22" s="12" t="n">
        <x:f>IF(AND('入力条件'!$C$31="計算可",16&lt;='入力条件'!$C$12),D22*E22+(C22-D22)*'入力条件'!$C$20-'入力条件'!$C$17-IF(B22='入力条件'!$C$18,'入力条件'!$C$19,0)-IF(B22='入力条件'!$C$12,'入力条件'!$C$27,0),"")</x:f>
        <x:v>4036384.9292256823</x:v>
      </x:c>
      <x:c r="G22" s="12" t="n">
        <x:f>IF(AND('入力条件'!$C$31="計算可",16&lt;='入力条件'!$C$12),D22*E22-IF('入力条件'!$C$24=1,C22,D22)*'入力条件'!$C$21*(1+'入力条件'!$C$22)^(B22-1)-'入力条件'!$C$23-IF(B22='入力条件'!$C$12,'入力条件'!$C$28,0),"")</x:f>
        <x:v>1214187.780183191</x:v>
      </x:c>
      <x:c r="H22" s="12" t="n">
        <x:f>IF(AND('入力条件'!$C$31="計算可",16&lt;='入力条件'!$C$12),D22*E22+(C22-D22)*'入力条件'!$C$20-'入力条件'!$C$25-'入力条件'!$C$26-IF(B22='入力条件'!$C$12,'入力条件'!$C$29,0),"")</x:f>
        <x:v>2536384.9292256823</x:v>
      </x:c>
      <x:c r="I22" s="12" t="n">
        <x:f>IF(AND('入力条件'!$C$31="計算可",16&lt;='入力条件'!$C$12),I21+F22,"")</x:f>
        <x:v>35259399.0840891</x:v>
      </x:c>
      <x:c r="J22" s="12" t="n">
        <x:f>IF(AND('入力条件'!$C$31="計算可",16&lt;='入力条件'!$C$12),J21+G22,"")</x:f>
        <x:v>20176631.74354495</x:v>
      </x:c>
      <x:c r="K22" s="12" t="n">
        <x:f>IF(AND('入力条件'!$C$31="計算可",16&lt;='入力条件'!$C$12),K21+H22,"")</x:f>
        <x:v>43259399.0840891</x:v>
      </x:c>
      <x:c r="L22" s="12" t="n">
        <x:f>IF(AND('入力条件'!$C$31="計算可",16&lt;='入力条件'!$C$12),F22/(1+'入力条件'!$C$13)^B22,"")</x:f>
        <x:v>2515341.6418597647</x:v>
      </x:c>
      <x:c r="M22" s="13" t="n">
        <x:f>IF(B22="","",G22/(1+'入力条件'!$C$13)^B22)</x:f>
        <x:v>756641.6826152236</x:v>
      </x:c>
      <x:c r="N22" s="13" t="n">
        <x:f>IF(B22="","",H22/(1+'入力条件'!$C$13)^B22)</x:f>
        <x:v>1580591.2330295937</x:v>
      </x:c>
    </x:row>
    <x:row r="23" ht="24" customHeight="1">
      <x:c r="A23" s="1"/>
      <x:c r="B23" s="1" t="n">
        <x:f>IF(AND('入力条件'!$C$31="計算可",17&lt;='入力条件'!$C$12),17,"")</x:f>
        <x:v>17</x:v>
      </x:c>
      <x:c r="C23" s="12" t="n">
        <x:f>IF(AND('入力条件'!$C$31="計算可",17&lt;='入力条件'!$C$12),'入力条件'!$C$7*'入力条件'!$C$8*(1-'入力条件'!$C$14)^(B23-1),"")</x:f>
        <x:v>203044.84727433196</x:v>
      </x:c>
      <x:c r="D23" s="12" t="n">
        <x:f>IF(AND('入力条件'!$C$31="計算可",17&lt;='入力条件'!$C$12),MIN('入力条件'!$C$6,C23*'入力条件'!$C$9),"")</x:f>
        <x:v>172588.12018318215</x:v>
      </x:c>
      <x:c r="E23" s="14" t="n">
        <x:f>IF(AND('入力条件'!$C$31="計算可",17&lt;='入力条件'!$C$12),'入力条件'!$C$10*(1+'入力条件'!$C$11)^(B23-1),"")</x:f>
        <x:v>25</x:v>
      </x:c>
      <x:c r="F23" s="12" t="n">
        <x:f>IF(AND('入力条件'!$C$31="計算可",17&lt;='入力条件'!$C$12),D23*E23+(C23-D23)*'入力条件'!$C$20-'入力条件'!$C$17-IF(B23='入力条件'!$C$18,'入力条件'!$C$19,0)-IF(B23='入力条件'!$C$12,'入力条件'!$C$27,0),"")</x:f>
        <x:v>4014703.0045795534</x:v>
      </x:c>
      <x:c r="G23" s="12" t="n">
        <x:f>IF(AND('入力条件'!$C$31="計算可",17&lt;='入力条件'!$C$12),D23*E23-IF('入力条件'!$C$24=1,C23,D23)*'入力条件'!$C$21*(1+'入力条件'!$C$22)^(B23-1)-'入力条件'!$C$23-IF(B23='入力条件'!$C$12,'入力条件'!$C$28,0),"")</x:f>
        <x:v>1208116.8412822746</x:v>
      </x:c>
      <x:c r="H23" s="12" t="n">
        <x:f>IF(AND('入力条件'!$C$31="計算可",17&lt;='入力条件'!$C$12),D23*E23+(C23-D23)*'入力条件'!$C$20-'入力条件'!$C$25-'入力条件'!$C$26-IF(B23='入力条件'!$C$12,'入力条件'!$C$29,0),"")</x:f>
        <x:v>2514703.0045795534</x:v>
      </x:c>
      <x:c r="I23" s="12" t="n">
        <x:f>IF(AND('入力条件'!$C$31="計算可",17&lt;='入力条件'!$C$12),I22+F23,"")</x:f>
        <x:v>39274102.08866865</x:v>
      </x:c>
      <x:c r="J23" s="12" t="n">
        <x:f>IF(AND('入力条件'!$C$31="計算可",17&lt;='入力条件'!$C$12),J22+G23,"")</x:f>
        <x:v>21384748.584827226</x:v>
      </x:c>
      <x:c r="K23" s="12" t="n">
        <x:f>IF(AND('入力条件'!$C$31="計算可",17&lt;='入力条件'!$C$12),K22+H23,"")</x:f>
        <x:v>45774102.08866865</x:v>
      </x:c>
      <x:c r="L23" s="12" t="n">
        <x:f>IF(AND('入力条件'!$C$31="計算可",17&lt;='入力条件'!$C$12),F23/(1+'入力条件'!$C$13)^B23,"")</x:f>
        <x:v>2428961.342953044</x:v>
      </x:c>
      <x:c r="M23" s="13" t="n">
        <x:f>IF(B23="","",G23/(1+'入力条件'!$C$13)^B23)</x:f>
        <x:v>730930.5574778129</x:v>
      </x:c>
      <x:c r="N23" s="13" t="n">
        <x:f>IF(B23="","",H23/(1+'入力条件'!$C$13)^B23)</x:f>
        <x:v>1521436.674185888</x:v>
      </x:c>
    </x:row>
    <x:row r="24" ht="24" customHeight="1">
      <x:c r="A24" s="1"/>
      <x:c r="B24" s="1" t="n">
        <x:f>IF(AND('入力条件'!$C$31="計算可",18&lt;='入力条件'!$C$12),18,"")</x:f>
        <x:v>18</x:v>
      </x:c>
      <x:c r="C24" s="12" t="n">
        <x:f>IF(AND('入力条件'!$C$31="計算可",18&lt;='入力条件'!$C$12),'入力条件'!$C$7*'入力条件'!$C$8*(1-'入力条件'!$C$14)^(B24-1),"")</x:f>
        <x:v>202029.6230379603</x:v>
      </x:c>
      <x:c r="D24" s="12" t="n">
        <x:f>IF(AND('入力条件'!$C$31="計算可",18&lt;='入力条件'!$C$12),MIN('入力条件'!$C$6,C24*'入力条件'!$C$9),"")</x:f>
        <x:v>171725.17958226625</x:v>
      </x:c>
      <x:c r="E24" s="14" t="n">
        <x:f>IF(AND('入力条件'!$C$31="計算可",18&lt;='入力条件'!$C$12),'入力条件'!$C$10*(1+'入力条件'!$C$11)^(B24-1),"")</x:f>
        <x:v>25</x:v>
      </x:c>
      <x:c r="F24" s="12" t="n">
        <x:f>IF(AND('入力条件'!$C$31="計算可",18&lt;='入力条件'!$C$12),D24*E24+(C24-D24)*'入力条件'!$C$20-'入力条件'!$C$17-IF(B24='入力条件'!$C$18,'入力条件'!$C$19,0)-IF(B24='入力条件'!$C$12,'入力条件'!$C$27,0),"")</x:f>
        <x:v>3993129.489556656</x:v>
      </x:c>
      <x:c r="G24" s="12" t="n">
        <x:f>IF(AND('入力条件'!$C$31="計算可",18&lt;='入力条件'!$C$12),D24*E24-IF('入力条件'!$C$24=1,C24,D24)*'入力条件'!$C$21*(1+'入力条件'!$C$22)^(B24-1)-'入力条件'!$C$23-IF(B24='入力条件'!$C$12,'入力条件'!$C$28,0),"")</x:f>
        <x:v>1202076.257075864</x:v>
      </x:c>
      <x:c r="H24" s="12" t="n">
        <x:f>IF(AND('入力条件'!$C$31="計算可",18&lt;='入力条件'!$C$12),D24*E24+(C24-D24)*'入力条件'!$C$20-'入力条件'!$C$25-'入力条件'!$C$26-IF(B24='入力条件'!$C$12,'入力条件'!$C$29,0),"")</x:f>
        <x:v>2493129.489556656</x:v>
      </x:c>
      <x:c r="I24" s="12" t="n">
        <x:f>IF(AND('入力条件'!$C$31="計算可",18&lt;='入力条件'!$C$12),I23+F24,"")</x:f>
        <x:v>43267231.57822531</x:v>
      </x:c>
      <x:c r="J24" s="12" t="n">
        <x:f>IF(AND('入力条件'!$C$31="計算可",18&lt;='入力条件'!$C$12),J23+G24,"")</x:f>
        <x:v>22586824.84190309</x:v>
      </x:c>
      <x:c r="K24" s="12" t="n">
        <x:f>IF(AND('入力条件'!$C$31="計算可",18&lt;='入力条件'!$C$12),K23+H24,"")</x:f>
        <x:v>48267231.57822531</x:v>
      </x:c>
      <x:c r="L24" s="12" t="n">
        <x:f>IF(AND('入力条件'!$C$31="計算可",18&lt;='入力条件'!$C$12),F24/(1+'入力条件'!$C$13)^B24,"")</x:f>
        <x:v>2345542.7296791375</x:v>
      </x:c>
      <x:c r="M24" s="13" t="n">
        <x:f>IF(B24="","",G24/(1+'入力条件'!$C$13)^B24)</x:f>
        <x:v>706093.1113499263</x:v>
      </x:c>
      <x:c r="N24" s="13" t="n">
        <x:f>IF(B24="","",H24/(1+'入力条件'!$C$13)^B24)</x:f>
        <x:v>1464450.8182547141</x:v>
      </x:c>
    </x:row>
    <x:row r="25" ht="24" customHeight="1">
      <x:c r="A25" s="1"/>
      <x:c r="B25" s="1" t="n">
        <x:f>IF(AND('入力条件'!$C$31="計算可",19&lt;='入力条件'!$C$12),19,"")</x:f>
        <x:v>19</x:v>
      </x:c>
      <x:c r="C25" s="12" t="n">
        <x:f>IF(AND('入力条件'!$C$31="計算可",19&lt;='入力条件'!$C$12),'入力条件'!$C$7*'入力条件'!$C$8*(1-'入力条件'!$C$14)^(B25-1),"")</x:f>
        <x:v>201019.4749227705</x:v>
      </x:c>
      <x:c r="D25" s="12" t="n">
        <x:f>IF(AND('入力条件'!$C$31="計算可",19&lt;='入力条件'!$C$12),MIN('入力条件'!$C$6,C25*'入力条件'!$C$9),"")</x:f>
        <x:v>170866.5536843549</x:v>
      </x:c>
      <x:c r="E25" s="14" t="n">
        <x:f>IF(AND('入力条件'!$C$31="計算可",19&lt;='入力条件'!$C$12),'入力条件'!$C$10*(1+'入力条件'!$C$11)^(B25-1),"")</x:f>
        <x:v>25</x:v>
      </x:c>
      <x:c r="F25" s="12" t="n">
        <x:f>IF(AND('入力条件'!$C$31="計算可",19&lt;='入力条件'!$C$12),D25*E25+(C25-D25)*'入力条件'!$C$20-'入力条件'!$C$17-IF(B25='入力条件'!$C$18,'入力条件'!$C$19,0)-IF(B25='入力条件'!$C$12,'入力条件'!$C$27,0),"")</x:f>
        <x:v>3971663.8421088727</x:v>
      </x:c>
      <x:c r="G25" s="12" t="n">
        <x:f>IF(AND('入力条件'!$C$31="計算可",19&lt;='入力条件'!$C$12),D25*E25-IF('入力条件'!$C$24=1,C25,D25)*'入力条件'!$C$21*(1+'入力条件'!$C$22)^(B25-1)-'入力条件'!$C$23-IF(B25='入力条件'!$C$12,'入力条件'!$C$28,0),"")</x:f>
        <x:v>1196065.8757904842</x:v>
      </x:c>
      <x:c r="H25" s="12" t="n">
        <x:f>IF(AND('入力条件'!$C$31="計算可",19&lt;='入力条件'!$C$12),D25*E25+(C25-D25)*'入力条件'!$C$20-'入力条件'!$C$25-'入力条件'!$C$26-IF(B25='入力条件'!$C$12,'入力条件'!$C$29,0),"")</x:f>
        <x:v>2471663.8421088727</x:v>
      </x:c>
      <x:c r="I25" s="12" t="n">
        <x:f>IF(AND('入力条件'!$C$31="計算可",19&lt;='入力条件'!$C$12),I24+F25,"")</x:f>
        <x:v>47238895.42033418</x:v>
      </x:c>
      <x:c r="J25" s="12" t="n">
        <x:f>IF(AND('入力条件'!$C$31="計算可",19&lt;='入力条件'!$C$12),J24+G25,"")</x:f>
        <x:v>23782890.717693575</x:v>
      </x:c>
      <x:c r="K25" s="12" t="n">
        <x:f>IF(AND('入力条件'!$C$31="計算可",19&lt;='入力条件'!$C$12),K24+H25,"")</x:f>
        <x:v>50738895.42033418</x:v>
      </x:c>
      <x:c r="L25" s="12" t="n">
        <x:f>IF(AND('入力条件'!$C$31="計算可",19&lt;='入力条件'!$C$12),F25/(1+'入力条件'!$C$13)^B25,"")</x:f>
        <x:v>2264984.392348852</x:v>
      </x:c>
      <x:c r="M25" s="13" t="n">
        <x:f>IF(B25="","",G25/(1+'入力条件'!$C$13)^B25)</x:f>
        <x:v>682099.6561098802</x:v>
      </x:c>
      <x:c r="N25" s="13" t="n">
        <x:f>IF(B25="","",H25/(1+'入力条件'!$C$13)^B25)</x:f>
        <x:v>1409555.352130965</x:v>
      </x:c>
    </x:row>
    <x:row r="26" ht="24" customHeight="1">
      <x:c r="A26" s="1"/>
      <x:c r="B26" s="1" t="n">
        <x:f>IF(AND('入力条件'!$C$31="計算可",20&lt;='入力条件'!$C$12),20,"")</x:f>
        <x:v>20</x:v>
      </x:c>
      <x:c r="C26" s="12" t="n">
        <x:f>IF(AND('入力条件'!$C$31="計算可",20&lt;='入力条件'!$C$12),'入力条件'!$C$7*'入力条件'!$C$8*(1-'入力条件'!$C$14)^(B26-1),"")</x:f>
        <x:v>200014.37754815663</x:v>
      </x:c>
      <x:c r="D26" s="12" t="n">
        <x:f>IF(AND('入力条件'!$C$31="計算可",20&lt;='入力条件'!$C$12),MIN('入力条件'!$C$6,C26*'入力条件'!$C$9),"")</x:f>
        <x:v>170012.22091593314</x:v>
      </x:c>
      <x:c r="E26" s="14" t="n">
        <x:f>IF(AND('入力条件'!$C$31="計算可",20&lt;='入力条件'!$C$12),'入力条件'!$C$10*(1+'入力条件'!$C$11)^(B26-1),"")</x:f>
        <x:v>25</x:v>
      </x:c>
      <x:c r="F26" s="12" t="n">
        <x:f>IF(AND('入力条件'!$C$31="計算可",20&lt;='入力条件'!$C$12),D26*E26+(C26-D26)*'入力条件'!$C$20-'入力条件'!$C$17-IF(B26='入力条件'!$C$18,'入力条件'!$C$19,0)-IF(B26='入力条件'!$C$12,'入力条件'!$C$27,0),"")</x:f>
        <x:v>2950305.5228983285</x:v>
      </x:c>
      <x:c r="G26" s="12" t="n">
        <x:f>IF(AND('入力条件'!$C$31="計算可",20&lt;='入力条件'!$C$12),D26*E26-IF('入力条件'!$C$24=1,C26,D26)*'入力条件'!$C$21*(1+'入力条件'!$C$22)^(B26-1)-'入力条件'!$C$23-IF(B26='入力条件'!$C$12,'入力条件'!$C$28,0),"")</x:f>
        <x:v>1190085.546411532</x:v>
      </x:c>
      <x:c r="H26" s="12" t="n">
        <x:f>IF(AND('入力条件'!$C$31="計算可",20&lt;='入力条件'!$C$12),D26*E26+(C26-D26)*'入力条件'!$C$20-'入力条件'!$C$25-'入力条件'!$C$26-IF(B26='入力条件'!$C$12,'入力条件'!$C$29,0),"")</x:f>
        <x:v>2450305.5228983285</x:v>
      </x:c>
      <x:c r="I26" s="12" t="n">
        <x:f>IF(AND('入力条件'!$C$31="計算可",20&lt;='入力条件'!$C$12),I25+F26,"")</x:f>
        <x:v>50189200.943232514</x:v>
      </x:c>
      <x:c r="J26" s="12" t="n">
        <x:f>IF(AND('入力条件'!$C$31="計算可",20&lt;='入力条件'!$C$12),J25+G26,"")</x:f>
        <x:v>24972976.264105108</x:v>
      </x:c>
      <x:c r="K26" s="12" t="n">
        <x:f>IF(AND('入力条件'!$C$31="計算可",20&lt;='入力条件'!$C$12),K25+H26,"")</x:f>
        <x:v>53189200.943232514</x:v>
      </x:c>
      <x:c r="L26" s="12" t="n">
        <x:f>IF(AND('入力条件'!$C$31="計算可",20&lt;='入力条件'!$C$12),F26/(1+'入力条件'!$C$13)^B26,"")</x:f>
        <x:v>1633512.63547084</x:v>
      </x:c>
      <x:c r="M26" s="13" t="n">
        <x:f>IF(B26="","",G26/(1+'入力条件'!$C$13)^B26)</x:f>
        <x:v>658921.512455661</x:v>
      </x:c>
      <x:c r="N26" s="13" t="n">
        <x:f>IF(B26="","",H26/(1+'入力条件'!$C$13)^B26)</x:f>
        <x:v>1356674.7583776726</x:v>
      </x:c>
    </x:row>
    <x:row r="27" ht="24" customHeight="1">
      <x:c r="A27" s="1"/>
      <x:c r="B27" s="1" t="str">
        <x:f>IF(AND('入力条件'!$C$31="計算可",21&lt;='入力条件'!$C$12),21,"")</x:f>
      </x:c>
      <x:c r="C27" s="12" t="str">
        <x:f>IF(AND('入力条件'!$C$31="計算可",21&lt;='入力条件'!$C$12),'入力条件'!$C$7*'入力条件'!$C$8*(1-'入力条件'!$C$14)^(B27-1),"")</x:f>
      </x:c>
      <x:c r="D27" s="12" t="str">
        <x:f>IF(AND('入力条件'!$C$31="計算可",21&lt;='入力条件'!$C$12),MIN('入力条件'!$C$6,C27*'入力条件'!$C$9),"")</x:f>
      </x:c>
      <x:c r="E27" s="14" t="str">
        <x:f>IF(AND('入力条件'!$C$31="計算可",21&lt;='入力条件'!$C$12),'入力条件'!$C$10*(1+'入力条件'!$C$11)^(B27-1),"")</x:f>
      </x:c>
      <x:c r="F27" s="12" t="str">
        <x:f>IF(AND('入力条件'!$C$31="計算可",21&lt;='入力条件'!$C$12),D27*E27+(C27-D27)*'入力条件'!$C$20-'入力条件'!$C$17-IF(B27='入力条件'!$C$18,'入力条件'!$C$19,0)-IF(B27='入力条件'!$C$12,'入力条件'!$C$27,0),"")</x:f>
      </x:c>
      <x:c r="G27" s="12" t="str">
        <x:f>IF(AND('入力条件'!$C$31="計算可",21&lt;='入力条件'!$C$12),D27*E27-IF('入力条件'!$C$24=1,C27,D27)*'入力条件'!$C$21*(1+'入力条件'!$C$22)^(B27-1)-'入力条件'!$C$23-IF(B27='入力条件'!$C$12,'入力条件'!$C$28,0),"")</x:f>
      </x:c>
      <x:c r="H27" s="12" t="str">
        <x:f>IF(AND('入力条件'!$C$31="計算可",21&lt;='入力条件'!$C$12),D27*E27+(C27-D27)*'入力条件'!$C$20-'入力条件'!$C$25-'入力条件'!$C$26-IF(B27='入力条件'!$C$12,'入力条件'!$C$29,0),"")</x:f>
      </x:c>
      <x:c r="I27" s="12" t="str">
        <x:f>IF(AND('入力条件'!$C$31="計算可",21&lt;='入力条件'!$C$12),I26+F27,"")</x:f>
      </x:c>
      <x:c r="J27" s="12" t="str">
        <x:f>IF(AND('入力条件'!$C$31="計算可",21&lt;='入力条件'!$C$12),J26+G27,"")</x:f>
      </x:c>
      <x:c r="K27" s="12" t="str">
        <x:f>IF(AND('入力条件'!$C$31="計算可",21&lt;='入力条件'!$C$12),K26+H27,"")</x:f>
      </x:c>
      <x:c r="L27" s="12" t="str">
        <x:f>IF(AND('入力条件'!$C$31="計算可",21&lt;='入力条件'!$C$12),F27/(1+'入力条件'!$C$13)^B27,"")</x:f>
      </x:c>
      <x:c r="M27" s="13" t="str">
        <x:f>IF(B27="","",G27/(1+'入力条件'!$C$13)^B27)</x:f>
      </x:c>
      <x:c r="N27" s="13" t="str">
        <x:f>IF(B27="","",H27/(1+'入力条件'!$C$13)^B27)</x:f>
      </x:c>
    </x:row>
    <x:row r="28" ht="24" customHeight="1">
      <x:c r="A28" s="1"/>
      <x:c r="B28" s="1" t="str">
        <x:f>IF(AND('入力条件'!$C$31="計算可",22&lt;='入力条件'!$C$12),22,"")</x:f>
      </x:c>
      <x:c r="C28" s="12" t="str">
        <x:f>IF(AND('入力条件'!$C$31="計算可",22&lt;='入力条件'!$C$12),'入力条件'!$C$7*'入力条件'!$C$8*(1-'入力条件'!$C$14)^(B28-1),"")</x:f>
      </x:c>
      <x:c r="D28" s="12" t="str">
        <x:f>IF(AND('入力条件'!$C$31="計算可",22&lt;='入力条件'!$C$12),MIN('入力条件'!$C$6,C28*'入力条件'!$C$9),"")</x:f>
      </x:c>
      <x:c r="E28" s="14" t="str">
        <x:f>IF(AND('入力条件'!$C$31="計算可",22&lt;='入力条件'!$C$12),'入力条件'!$C$10*(1+'入力条件'!$C$11)^(B28-1),"")</x:f>
      </x:c>
      <x:c r="F28" s="12" t="str">
        <x:f>IF(AND('入力条件'!$C$31="計算可",22&lt;='入力条件'!$C$12),D28*E28+(C28-D28)*'入力条件'!$C$20-'入力条件'!$C$17-IF(B28='入力条件'!$C$18,'入力条件'!$C$19,0)-IF(B28='入力条件'!$C$12,'入力条件'!$C$27,0),"")</x:f>
      </x:c>
      <x:c r="G28" s="12" t="str">
        <x:f>IF(AND('入力条件'!$C$31="計算可",22&lt;='入力条件'!$C$12),D28*E28-IF('入力条件'!$C$24=1,C28,D28)*'入力条件'!$C$21*(1+'入力条件'!$C$22)^(B28-1)-'入力条件'!$C$23-IF(B28='入力条件'!$C$12,'入力条件'!$C$28,0),"")</x:f>
      </x:c>
      <x:c r="H28" s="12" t="str">
        <x:f>IF(AND('入力条件'!$C$31="計算可",22&lt;='入力条件'!$C$12),D28*E28+(C28-D28)*'入力条件'!$C$20-'入力条件'!$C$25-'入力条件'!$C$26-IF(B28='入力条件'!$C$12,'入力条件'!$C$29,0),"")</x:f>
      </x:c>
      <x:c r="I28" s="12" t="str">
        <x:f>IF(AND('入力条件'!$C$31="計算可",22&lt;='入力条件'!$C$12),I27+F28,"")</x:f>
      </x:c>
      <x:c r="J28" s="12" t="str">
        <x:f>IF(AND('入力条件'!$C$31="計算可",22&lt;='入力条件'!$C$12),J27+G28,"")</x:f>
      </x:c>
      <x:c r="K28" s="12" t="str">
        <x:f>IF(AND('入力条件'!$C$31="計算可",22&lt;='入力条件'!$C$12),K27+H28,"")</x:f>
      </x:c>
      <x:c r="L28" s="12" t="str">
        <x:f>IF(AND('入力条件'!$C$31="計算可",22&lt;='入力条件'!$C$12),F28/(1+'入力条件'!$C$13)^B28,"")</x:f>
      </x:c>
      <x:c r="M28" s="13" t="str">
        <x:f>IF(B28="","",G28/(1+'入力条件'!$C$13)^B28)</x:f>
      </x:c>
      <x:c r="N28" s="13" t="str">
        <x:f>IF(B28="","",H28/(1+'入力条件'!$C$13)^B28)</x:f>
      </x:c>
    </x:row>
    <x:row r="29" ht="24" customHeight="1">
      <x:c r="A29" s="1"/>
      <x:c r="B29" s="1" t="str">
        <x:f>IF(AND('入力条件'!$C$31="計算可",23&lt;='入力条件'!$C$12),23,"")</x:f>
      </x:c>
      <x:c r="C29" s="12" t="str">
        <x:f>IF(AND('入力条件'!$C$31="計算可",23&lt;='入力条件'!$C$12),'入力条件'!$C$7*'入力条件'!$C$8*(1-'入力条件'!$C$14)^(B29-1),"")</x:f>
      </x:c>
      <x:c r="D29" s="12" t="str">
        <x:f>IF(AND('入力条件'!$C$31="計算可",23&lt;='入力条件'!$C$12),MIN('入力条件'!$C$6,C29*'入力条件'!$C$9),"")</x:f>
      </x:c>
      <x:c r="E29" s="14" t="str">
        <x:f>IF(AND('入力条件'!$C$31="計算可",23&lt;='入力条件'!$C$12),'入力条件'!$C$10*(1+'入力条件'!$C$11)^(B29-1),"")</x:f>
      </x:c>
      <x:c r="F29" s="12" t="str">
        <x:f>IF(AND('入力条件'!$C$31="計算可",23&lt;='入力条件'!$C$12),D29*E29+(C29-D29)*'入力条件'!$C$20-'入力条件'!$C$17-IF(B29='入力条件'!$C$18,'入力条件'!$C$19,0)-IF(B29='入力条件'!$C$12,'入力条件'!$C$27,0),"")</x:f>
      </x:c>
      <x:c r="G29" s="12" t="str">
        <x:f>IF(AND('入力条件'!$C$31="計算可",23&lt;='入力条件'!$C$12),D29*E29-IF('入力条件'!$C$24=1,C29,D29)*'入力条件'!$C$21*(1+'入力条件'!$C$22)^(B29-1)-'入力条件'!$C$23-IF(B29='入力条件'!$C$12,'入力条件'!$C$28,0),"")</x:f>
      </x:c>
      <x:c r="H29" s="12" t="str">
        <x:f>IF(AND('入力条件'!$C$31="計算可",23&lt;='入力条件'!$C$12),D29*E29+(C29-D29)*'入力条件'!$C$20-'入力条件'!$C$25-'入力条件'!$C$26-IF(B29='入力条件'!$C$12,'入力条件'!$C$29,0),"")</x:f>
      </x:c>
      <x:c r="I29" s="12" t="str">
        <x:f>IF(AND('入力条件'!$C$31="計算可",23&lt;='入力条件'!$C$12),I28+F29,"")</x:f>
      </x:c>
      <x:c r="J29" s="12" t="str">
        <x:f>IF(AND('入力条件'!$C$31="計算可",23&lt;='入力条件'!$C$12),J28+G29,"")</x:f>
      </x:c>
      <x:c r="K29" s="12" t="str">
        <x:f>IF(AND('入力条件'!$C$31="計算可",23&lt;='入力条件'!$C$12),K28+H29,"")</x:f>
      </x:c>
      <x:c r="L29" s="12" t="str">
        <x:f>IF(AND('入力条件'!$C$31="計算可",23&lt;='入力条件'!$C$12),F29/(1+'入力条件'!$C$13)^B29,"")</x:f>
      </x:c>
      <x:c r="M29" s="13" t="str">
        <x:f>IF(B29="","",G29/(1+'入力条件'!$C$13)^B29)</x:f>
      </x:c>
      <x:c r="N29" s="13" t="str">
        <x:f>IF(B29="","",H29/(1+'入力条件'!$C$13)^B29)</x:f>
      </x:c>
    </x:row>
    <x:row r="30" ht="24" customHeight="1">
      <x:c r="A30" s="1"/>
      <x:c r="B30" s="1" t="str">
        <x:f>IF(AND('入力条件'!$C$31="計算可",24&lt;='入力条件'!$C$12),24,"")</x:f>
      </x:c>
      <x:c r="C30" s="12" t="str">
        <x:f>IF(AND('入力条件'!$C$31="計算可",24&lt;='入力条件'!$C$12),'入力条件'!$C$7*'入力条件'!$C$8*(1-'入力条件'!$C$14)^(B30-1),"")</x:f>
      </x:c>
      <x:c r="D30" s="12" t="str">
        <x:f>IF(AND('入力条件'!$C$31="計算可",24&lt;='入力条件'!$C$12),MIN('入力条件'!$C$6,C30*'入力条件'!$C$9),"")</x:f>
      </x:c>
      <x:c r="E30" s="14" t="str">
        <x:f>IF(AND('入力条件'!$C$31="計算可",24&lt;='入力条件'!$C$12),'入力条件'!$C$10*(1+'入力条件'!$C$11)^(B30-1),"")</x:f>
      </x:c>
      <x:c r="F30" s="12" t="str">
        <x:f>IF(AND('入力条件'!$C$31="計算可",24&lt;='入力条件'!$C$12),D30*E30+(C30-D30)*'入力条件'!$C$20-'入力条件'!$C$17-IF(B30='入力条件'!$C$18,'入力条件'!$C$19,0)-IF(B30='入力条件'!$C$12,'入力条件'!$C$27,0),"")</x:f>
      </x:c>
      <x:c r="G30" s="12" t="str">
        <x:f>IF(AND('入力条件'!$C$31="計算可",24&lt;='入力条件'!$C$12),D30*E30-IF('入力条件'!$C$24=1,C30,D30)*'入力条件'!$C$21*(1+'入力条件'!$C$22)^(B30-1)-'入力条件'!$C$23-IF(B30='入力条件'!$C$12,'入力条件'!$C$28,0),"")</x:f>
      </x:c>
      <x:c r="H30" s="12" t="str">
        <x:f>IF(AND('入力条件'!$C$31="計算可",24&lt;='入力条件'!$C$12),D30*E30+(C30-D30)*'入力条件'!$C$20-'入力条件'!$C$25-'入力条件'!$C$26-IF(B30='入力条件'!$C$12,'入力条件'!$C$29,0),"")</x:f>
      </x:c>
      <x:c r="I30" s="12" t="str">
        <x:f>IF(AND('入力条件'!$C$31="計算可",24&lt;='入力条件'!$C$12),I29+F30,"")</x:f>
      </x:c>
      <x:c r="J30" s="12" t="str">
        <x:f>IF(AND('入力条件'!$C$31="計算可",24&lt;='入力条件'!$C$12),J29+G30,"")</x:f>
      </x:c>
      <x:c r="K30" s="12" t="str">
        <x:f>IF(AND('入力条件'!$C$31="計算可",24&lt;='入力条件'!$C$12),K29+H30,"")</x:f>
      </x:c>
      <x:c r="L30" s="12" t="str">
        <x:f>IF(AND('入力条件'!$C$31="計算可",24&lt;='入力条件'!$C$12),F30/(1+'入力条件'!$C$13)^B30,"")</x:f>
      </x:c>
      <x:c r="M30" s="13" t="str">
        <x:f>IF(B30="","",G30/(1+'入力条件'!$C$13)^B30)</x:f>
      </x:c>
      <x:c r="N30" s="13" t="str">
        <x:f>IF(B30="","",H30/(1+'入力条件'!$C$13)^B30)</x:f>
      </x:c>
    </x:row>
    <x:row r="31" ht="24" customHeight="1">
      <x:c r="A31" s="1"/>
      <x:c r="B31" s="1" t="str">
        <x:f>IF(AND('入力条件'!$C$31="計算可",25&lt;='入力条件'!$C$12),25,"")</x:f>
      </x:c>
      <x:c r="C31" s="12" t="str">
        <x:f>IF(AND('入力条件'!$C$31="計算可",25&lt;='入力条件'!$C$12),'入力条件'!$C$7*'入力条件'!$C$8*(1-'入力条件'!$C$14)^(B31-1),"")</x:f>
      </x:c>
      <x:c r="D31" s="12" t="str">
        <x:f>IF(AND('入力条件'!$C$31="計算可",25&lt;='入力条件'!$C$12),MIN('入力条件'!$C$6,C31*'入力条件'!$C$9),"")</x:f>
      </x:c>
      <x:c r="E31" s="14" t="str">
        <x:f>IF(AND('入力条件'!$C$31="計算可",25&lt;='入力条件'!$C$12),'入力条件'!$C$10*(1+'入力条件'!$C$11)^(B31-1),"")</x:f>
      </x:c>
      <x:c r="F31" s="12" t="str">
        <x:f>IF(AND('入力条件'!$C$31="計算可",25&lt;='入力条件'!$C$12),D31*E31+(C31-D31)*'入力条件'!$C$20-'入力条件'!$C$17-IF(B31='入力条件'!$C$18,'入力条件'!$C$19,0)-IF(B31='入力条件'!$C$12,'入力条件'!$C$27,0),"")</x:f>
      </x:c>
      <x:c r="G31" s="12" t="str">
        <x:f>IF(AND('入力条件'!$C$31="計算可",25&lt;='入力条件'!$C$12),D31*E31-IF('入力条件'!$C$24=1,C31,D31)*'入力条件'!$C$21*(1+'入力条件'!$C$22)^(B31-1)-'入力条件'!$C$23-IF(B31='入力条件'!$C$12,'入力条件'!$C$28,0),"")</x:f>
      </x:c>
      <x:c r="H31" s="12" t="str">
        <x:f>IF(AND('入力条件'!$C$31="計算可",25&lt;='入力条件'!$C$12),D31*E31+(C31-D31)*'入力条件'!$C$20-'入力条件'!$C$25-'入力条件'!$C$26-IF(B31='入力条件'!$C$12,'入力条件'!$C$29,0),"")</x:f>
      </x:c>
      <x:c r="I31" s="12" t="str">
        <x:f>IF(AND('入力条件'!$C$31="計算可",25&lt;='入力条件'!$C$12),I30+F31,"")</x:f>
      </x:c>
      <x:c r="J31" s="12" t="str">
        <x:f>IF(AND('入力条件'!$C$31="計算可",25&lt;='入力条件'!$C$12),J30+G31,"")</x:f>
      </x:c>
      <x:c r="K31" s="12" t="str">
        <x:f>IF(AND('入力条件'!$C$31="計算可",25&lt;='入力条件'!$C$12),K30+H31,"")</x:f>
      </x:c>
      <x:c r="L31" s="12" t="str">
        <x:f>IF(AND('入力条件'!$C$31="計算可",25&lt;='入力条件'!$C$12),F31/(1+'入力条件'!$C$13)^B31,"")</x:f>
      </x:c>
      <x:c r="M31" s="13" t="str">
        <x:f>IF(B31="","",G31/(1+'入力条件'!$C$13)^B31)</x:f>
      </x:c>
      <x:c r="N31" s="13" t="str">
        <x:f>IF(B31="","",H31/(1+'入力条件'!$C$13)^B31)</x:f>
      </x:c>
    </x:row>
    <x:row r="32" ht="24" customHeight="1">
      <x:c r="A32" s="1"/>
      <x:c r="B32" s="1" t="str">
        <x:f>IF(AND('入力条件'!$C$31="計算可",26&lt;='入力条件'!$C$12),26,"")</x:f>
      </x:c>
      <x:c r="C32" s="12" t="str">
        <x:f>IF(AND('入力条件'!$C$31="計算可",26&lt;='入力条件'!$C$12),'入力条件'!$C$7*'入力条件'!$C$8*(1-'入力条件'!$C$14)^(B32-1),"")</x:f>
      </x:c>
      <x:c r="D32" s="12" t="str">
        <x:f>IF(AND('入力条件'!$C$31="計算可",26&lt;='入力条件'!$C$12),MIN('入力条件'!$C$6,C32*'入力条件'!$C$9),"")</x:f>
      </x:c>
      <x:c r="E32" s="14" t="str">
        <x:f>IF(AND('入力条件'!$C$31="計算可",26&lt;='入力条件'!$C$12),'入力条件'!$C$10*(1+'入力条件'!$C$11)^(B32-1),"")</x:f>
      </x:c>
      <x:c r="F32" s="12" t="str">
        <x:f>IF(AND('入力条件'!$C$31="計算可",26&lt;='入力条件'!$C$12),D32*E32+(C32-D32)*'入力条件'!$C$20-'入力条件'!$C$17-IF(B32='入力条件'!$C$18,'入力条件'!$C$19,0)-IF(B32='入力条件'!$C$12,'入力条件'!$C$27,0),"")</x:f>
      </x:c>
      <x:c r="G32" s="12" t="str">
        <x:f>IF(AND('入力条件'!$C$31="計算可",26&lt;='入力条件'!$C$12),D32*E32-IF('入力条件'!$C$24=1,C32,D32)*'入力条件'!$C$21*(1+'入力条件'!$C$22)^(B32-1)-'入力条件'!$C$23-IF(B32='入力条件'!$C$12,'入力条件'!$C$28,0),"")</x:f>
      </x:c>
      <x:c r="H32" s="12" t="str">
        <x:f>IF(AND('入力条件'!$C$31="計算可",26&lt;='入力条件'!$C$12),D32*E32+(C32-D32)*'入力条件'!$C$20-'入力条件'!$C$25-'入力条件'!$C$26-IF(B32='入力条件'!$C$12,'入力条件'!$C$29,0),"")</x:f>
      </x:c>
      <x:c r="I32" s="12" t="str">
        <x:f>IF(AND('入力条件'!$C$31="計算可",26&lt;='入力条件'!$C$12),I31+F32,"")</x:f>
      </x:c>
      <x:c r="J32" s="12" t="str">
        <x:f>IF(AND('入力条件'!$C$31="計算可",26&lt;='入力条件'!$C$12),J31+G32,"")</x:f>
      </x:c>
      <x:c r="K32" s="12" t="str">
        <x:f>IF(AND('入力条件'!$C$31="計算可",26&lt;='入力条件'!$C$12),K31+H32,"")</x:f>
      </x:c>
      <x:c r="L32" s="12" t="str">
        <x:f>IF(AND('入力条件'!$C$31="計算可",26&lt;='入力条件'!$C$12),F32/(1+'入力条件'!$C$13)^B32,"")</x:f>
      </x:c>
      <x:c r="M32" s="13" t="str">
        <x:f>IF(B32="","",G32/(1+'入力条件'!$C$13)^B32)</x:f>
      </x:c>
      <x:c r="N32" s="13" t="str">
        <x:f>IF(B32="","",H32/(1+'入力条件'!$C$13)^B32)</x:f>
      </x:c>
    </x:row>
    <x:row r="33" ht="24" customHeight="1">
      <x:c r="A33" s="1"/>
      <x:c r="B33" s="1" t="str">
        <x:f>IF(AND('入力条件'!$C$31="計算可",27&lt;='入力条件'!$C$12),27,"")</x:f>
      </x:c>
      <x:c r="C33" s="12" t="str">
        <x:f>IF(AND('入力条件'!$C$31="計算可",27&lt;='入力条件'!$C$12),'入力条件'!$C$7*'入力条件'!$C$8*(1-'入力条件'!$C$14)^(B33-1),"")</x:f>
      </x:c>
      <x:c r="D33" s="12" t="str">
        <x:f>IF(AND('入力条件'!$C$31="計算可",27&lt;='入力条件'!$C$12),MIN('入力条件'!$C$6,C33*'入力条件'!$C$9),"")</x:f>
      </x:c>
      <x:c r="E33" s="14" t="str">
        <x:f>IF(AND('入力条件'!$C$31="計算可",27&lt;='入力条件'!$C$12),'入力条件'!$C$10*(1+'入力条件'!$C$11)^(B33-1),"")</x:f>
      </x:c>
      <x:c r="F33" s="12" t="str">
        <x:f>IF(AND('入力条件'!$C$31="計算可",27&lt;='入力条件'!$C$12),D33*E33+(C33-D33)*'入力条件'!$C$20-'入力条件'!$C$17-IF(B33='入力条件'!$C$18,'入力条件'!$C$19,0)-IF(B33='入力条件'!$C$12,'入力条件'!$C$27,0),"")</x:f>
      </x:c>
      <x:c r="G33" s="12" t="str">
        <x:f>IF(AND('入力条件'!$C$31="計算可",27&lt;='入力条件'!$C$12),D33*E33-IF('入力条件'!$C$24=1,C33,D33)*'入力条件'!$C$21*(1+'入力条件'!$C$22)^(B33-1)-'入力条件'!$C$23-IF(B33='入力条件'!$C$12,'入力条件'!$C$28,0),"")</x:f>
      </x:c>
      <x:c r="H33" s="12" t="str">
        <x:f>IF(AND('入力条件'!$C$31="計算可",27&lt;='入力条件'!$C$12),D33*E33+(C33-D33)*'入力条件'!$C$20-'入力条件'!$C$25-'入力条件'!$C$26-IF(B33='入力条件'!$C$12,'入力条件'!$C$29,0),"")</x:f>
      </x:c>
      <x:c r="I33" s="12" t="str">
        <x:f>IF(AND('入力条件'!$C$31="計算可",27&lt;='入力条件'!$C$12),I32+F33,"")</x:f>
      </x:c>
      <x:c r="J33" s="12" t="str">
        <x:f>IF(AND('入力条件'!$C$31="計算可",27&lt;='入力条件'!$C$12),J32+G33,"")</x:f>
      </x:c>
      <x:c r="K33" s="12" t="str">
        <x:f>IF(AND('入力条件'!$C$31="計算可",27&lt;='入力条件'!$C$12),K32+H33,"")</x:f>
      </x:c>
      <x:c r="L33" s="12" t="str">
        <x:f>IF(AND('入力条件'!$C$31="計算可",27&lt;='入力条件'!$C$12),F33/(1+'入力条件'!$C$13)^B33,"")</x:f>
      </x:c>
      <x:c r="M33" s="13" t="str">
        <x:f>IF(B33="","",G33/(1+'入力条件'!$C$13)^B33)</x:f>
      </x:c>
      <x:c r="N33" s="13" t="str">
        <x:f>IF(B33="","",H33/(1+'入力条件'!$C$13)^B33)</x:f>
      </x:c>
    </x:row>
    <x:row r="34" ht="24" customHeight="1">
      <x:c r="A34" s="1"/>
      <x:c r="B34" s="1" t="str">
        <x:f>IF(AND('入力条件'!$C$31="計算可",28&lt;='入力条件'!$C$12),28,"")</x:f>
      </x:c>
      <x:c r="C34" s="12" t="str">
        <x:f>IF(AND('入力条件'!$C$31="計算可",28&lt;='入力条件'!$C$12),'入力条件'!$C$7*'入力条件'!$C$8*(1-'入力条件'!$C$14)^(B34-1),"")</x:f>
      </x:c>
      <x:c r="D34" s="12" t="str">
        <x:f>IF(AND('入力条件'!$C$31="計算可",28&lt;='入力条件'!$C$12),MIN('入力条件'!$C$6,C34*'入力条件'!$C$9),"")</x:f>
      </x:c>
      <x:c r="E34" s="14" t="str">
        <x:f>IF(AND('入力条件'!$C$31="計算可",28&lt;='入力条件'!$C$12),'入力条件'!$C$10*(1+'入力条件'!$C$11)^(B34-1),"")</x:f>
      </x:c>
      <x:c r="F34" s="12" t="str">
        <x:f>IF(AND('入力条件'!$C$31="計算可",28&lt;='入力条件'!$C$12),D34*E34+(C34-D34)*'入力条件'!$C$20-'入力条件'!$C$17-IF(B34='入力条件'!$C$18,'入力条件'!$C$19,0)-IF(B34='入力条件'!$C$12,'入力条件'!$C$27,0),"")</x:f>
      </x:c>
      <x:c r="G34" s="12" t="str">
        <x:f>IF(AND('入力条件'!$C$31="計算可",28&lt;='入力条件'!$C$12),D34*E34-IF('入力条件'!$C$24=1,C34,D34)*'入力条件'!$C$21*(1+'入力条件'!$C$22)^(B34-1)-'入力条件'!$C$23-IF(B34='入力条件'!$C$12,'入力条件'!$C$28,0),"")</x:f>
      </x:c>
      <x:c r="H34" s="12" t="str">
        <x:f>IF(AND('入力条件'!$C$31="計算可",28&lt;='入力条件'!$C$12),D34*E34+(C34-D34)*'入力条件'!$C$20-'入力条件'!$C$25-'入力条件'!$C$26-IF(B34='入力条件'!$C$12,'入力条件'!$C$29,0),"")</x:f>
      </x:c>
      <x:c r="I34" s="12" t="str">
        <x:f>IF(AND('入力条件'!$C$31="計算可",28&lt;='入力条件'!$C$12),I33+F34,"")</x:f>
      </x:c>
      <x:c r="J34" s="12" t="str">
        <x:f>IF(AND('入力条件'!$C$31="計算可",28&lt;='入力条件'!$C$12),J33+G34,"")</x:f>
      </x:c>
      <x:c r="K34" s="12" t="str">
        <x:f>IF(AND('入力条件'!$C$31="計算可",28&lt;='入力条件'!$C$12),K33+H34,"")</x:f>
      </x:c>
      <x:c r="L34" s="12" t="str">
        <x:f>IF(AND('入力条件'!$C$31="計算可",28&lt;='入力条件'!$C$12),F34/(1+'入力条件'!$C$13)^B34,"")</x:f>
      </x:c>
      <x:c r="M34" s="13" t="str">
        <x:f>IF(B34="","",G34/(1+'入力条件'!$C$13)^B34)</x:f>
      </x:c>
      <x:c r="N34" s="13" t="str">
        <x:f>IF(B34="","",H34/(1+'入力条件'!$C$13)^B34)</x:f>
      </x:c>
    </x:row>
    <x:row r="35" ht="24" customHeight="1">
      <x:c r="A35" s="1"/>
      <x:c r="B35" s="1" t="str">
        <x:f>IF(AND('入力条件'!$C$31="計算可",29&lt;='入力条件'!$C$12),29,"")</x:f>
      </x:c>
      <x:c r="C35" s="12" t="str">
        <x:f>IF(AND('入力条件'!$C$31="計算可",29&lt;='入力条件'!$C$12),'入力条件'!$C$7*'入力条件'!$C$8*(1-'入力条件'!$C$14)^(B35-1),"")</x:f>
      </x:c>
      <x:c r="D35" s="12" t="str">
        <x:f>IF(AND('入力条件'!$C$31="計算可",29&lt;='入力条件'!$C$12),MIN('入力条件'!$C$6,C35*'入力条件'!$C$9),"")</x:f>
      </x:c>
      <x:c r="E35" s="14" t="str">
        <x:f>IF(AND('入力条件'!$C$31="計算可",29&lt;='入力条件'!$C$12),'入力条件'!$C$10*(1+'入力条件'!$C$11)^(B35-1),"")</x:f>
      </x:c>
      <x:c r="F35" s="12" t="str">
        <x:f>IF(AND('入力条件'!$C$31="計算可",29&lt;='入力条件'!$C$12),D35*E35+(C35-D35)*'入力条件'!$C$20-'入力条件'!$C$17-IF(B35='入力条件'!$C$18,'入力条件'!$C$19,0)-IF(B35='入力条件'!$C$12,'入力条件'!$C$27,0),"")</x:f>
      </x:c>
      <x:c r="G35" s="12" t="str">
        <x:f>IF(AND('入力条件'!$C$31="計算可",29&lt;='入力条件'!$C$12),D35*E35-IF('入力条件'!$C$24=1,C35,D35)*'入力条件'!$C$21*(1+'入力条件'!$C$22)^(B35-1)-'入力条件'!$C$23-IF(B35='入力条件'!$C$12,'入力条件'!$C$28,0),"")</x:f>
      </x:c>
      <x:c r="H35" s="12" t="str">
        <x:f>IF(AND('入力条件'!$C$31="計算可",29&lt;='入力条件'!$C$12),D35*E35+(C35-D35)*'入力条件'!$C$20-'入力条件'!$C$25-'入力条件'!$C$26-IF(B35='入力条件'!$C$12,'入力条件'!$C$29,0),"")</x:f>
      </x:c>
      <x:c r="I35" s="12" t="str">
        <x:f>IF(AND('入力条件'!$C$31="計算可",29&lt;='入力条件'!$C$12),I34+F35,"")</x:f>
      </x:c>
      <x:c r="J35" s="12" t="str">
        <x:f>IF(AND('入力条件'!$C$31="計算可",29&lt;='入力条件'!$C$12),J34+G35,"")</x:f>
      </x:c>
      <x:c r="K35" s="12" t="str">
        <x:f>IF(AND('入力条件'!$C$31="計算可",29&lt;='入力条件'!$C$12),K34+H35,"")</x:f>
      </x:c>
      <x:c r="L35" s="12" t="str">
        <x:f>IF(AND('入力条件'!$C$31="計算可",29&lt;='入力条件'!$C$12),F35/(1+'入力条件'!$C$13)^B35,"")</x:f>
      </x:c>
      <x:c r="M35" s="13" t="str">
        <x:f>IF(B35="","",G35/(1+'入力条件'!$C$13)^B35)</x:f>
      </x:c>
      <x:c r="N35" s="13" t="str">
        <x:f>IF(B35="","",H35/(1+'入力条件'!$C$13)^B35)</x:f>
      </x:c>
    </x:row>
    <x:row r="36" ht="24" customHeight="1">
      <x:c r="A36" s="1"/>
      <x:c r="B36" s="1" t="str">
        <x:f>IF(AND('入力条件'!$C$31="計算可",30&lt;='入力条件'!$C$12),30,"")</x:f>
      </x:c>
      <x:c r="C36" s="12" t="str">
        <x:f>IF(AND('入力条件'!$C$31="計算可",30&lt;='入力条件'!$C$12),'入力条件'!$C$7*'入力条件'!$C$8*(1-'入力条件'!$C$14)^(B36-1),"")</x:f>
      </x:c>
      <x:c r="D36" s="12" t="str">
        <x:f>IF(AND('入力条件'!$C$31="計算可",30&lt;='入力条件'!$C$12),MIN('入力条件'!$C$6,C36*'入力条件'!$C$9),"")</x:f>
      </x:c>
      <x:c r="E36" s="14" t="str">
        <x:f>IF(AND('入力条件'!$C$31="計算可",30&lt;='入力条件'!$C$12),'入力条件'!$C$10*(1+'入力条件'!$C$11)^(B36-1),"")</x:f>
      </x:c>
      <x:c r="F36" s="12" t="str">
        <x:f>IF(AND('入力条件'!$C$31="計算可",30&lt;='入力条件'!$C$12),D36*E36+(C36-D36)*'入力条件'!$C$20-'入力条件'!$C$17-IF(B36='入力条件'!$C$18,'入力条件'!$C$19,0)-IF(B36='入力条件'!$C$12,'入力条件'!$C$27,0),"")</x:f>
      </x:c>
      <x:c r="G36" s="12" t="str">
        <x:f>IF(AND('入力条件'!$C$31="計算可",30&lt;='入力条件'!$C$12),D36*E36-IF('入力条件'!$C$24=1,C36,D36)*'入力条件'!$C$21*(1+'入力条件'!$C$22)^(B36-1)-'入力条件'!$C$23-IF(B36='入力条件'!$C$12,'入力条件'!$C$28,0),"")</x:f>
      </x:c>
      <x:c r="H36" s="12" t="str">
        <x:f>IF(AND('入力条件'!$C$31="計算可",30&lt;='入力条件'!$C$12),D36*E36+(C36-D36)*'入力条件'!$C$20-'入力条件'!$C$25-'入力条件'!$C$26-IF(B36='入力条件'!$C$12,'入力条件'!$C$29,0),"")</x:f>
      </x:c>
      <x:c r="I36" s="12" t="str">
        <x:f>IF(AND('入力条件'!$C$31="計算可",30&lt;='入力条件'!$C$12),I35+F36,"")</x:f>
      </x:c>
      <x:c r="J36" s="12" t="str">
        <x:f>IF(AND('入力条件'!$C$31="計算可",30&lt;='入力条件'!$C$12),J35+G36,"")</x:f>
      </x:c>
      <x:c r="K36" s="12" t="str">
        <x:f>IF(AND('入力条件'!$C$31="計算可",30&lt;='入力条件'!$C$12),K35+H36,"")</x:f>
      </x:c>
      <x:c r="L36" s="12" t="str">
        <x:f>IF(AND('入力条件'!$C$31="計算可",30&lt;='入力条件'!$C$12),F36/(1+'入力条件'!$C$13)^B36,"")</x:f>
      </x:c>
      <x:c r="M36" s="13" t="str">
        <x:f>IF(B36="","",G36/(1+'入力条件'!$C$13)^B36)</x:f>
      </x:c>
      <x:c r="N36" s="13" t="str">
        <x:f>IF(B36="","",H36/(1+'入力条件'!$C$13)^B36)</x:f>
      </x:c>
    </x:row>
    <x:row r="37" ht="24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</x:row>
    <x:row r="38" ht="24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</x:row>
    <x:row r="39" ht="24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</x:row>
    <x:row r="40" ht="24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</x:row>
    <x:row r="41" ht="24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</x:row>
    <x:row r="42" ht="24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</x:row>
    <x:row r="43" ht="24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</x:row>
    <x:row r="44" ht="24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</x:row>
    <x:row r="45" ht="24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</x:row>
    <x:row r="46" ht="24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</x:row>
    <x:row r="47" ht="24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</x:row>
    <x:row r="48" ht="24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</x:row>
    <x:row r="49" ht="24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</x:row>
    <x:row r="50" ht="24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</x:row>
    <x:row r="51" ht="24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</x:row>
    <x:row r="52" ht="24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</x:row>
    <x:row r="53" ht="24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</x:row>
    <x:row r="54" ht="24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</x:row>
    <x:row r="55" ht="24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</x:row>
    <x:row r="56" ht="24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</x:row>
    <x:row r="57" ht="24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</x:row>
    <x:row r="58" ht="24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</x:row>
    <x:row r="59" ht="24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</x:row>
    <x:row r="60" ht="24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</x:row>
    <x:row r="61" ht="24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</x:row>
    <x:row r="62" ht="24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</x:row>
    <x:row r="63" ht="24" customHeight="1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</x:row>
    <x:row r="64" ht="24" customHeight="1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</x:row>
    <x:row r="65" ht="24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</x:row>
    <x:row r="66" ht="24" customHeight="1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</x:row>
    <x:row r="67" ht="24" customHeight="1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</x:row>
    <x:row r="68" ht="24" customHeight="1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</x:row>
    <x:row r="69" ht="24" customHeight="1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</x:row>
    <x:row r="70" ht="24" customHeight="1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" hidden="0" customWidth="1"/>
    <x:col min="2" max="2" width="24" hidden="0" customWidth="1"/>
    <x:col min="3" max="3" width="43" hidden="0" customWidth="1"/>
    <x:col min="4" max="4" width="23" hidden="0" customWidth="1"/>
    <x:col min="5" max="5" width="23" hidden="0" customWidth="1"/>
    <x:col min="6" max="6" width="23" hidden="0" customWidth="1"/>
    <x:col min="7" max="7" width="35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 ht="24" customHeight="1">
      <x:c r="A2" s="1"/>
      <x:c r="B2" s="2" t="str">
        <x:v>見積条件とベンダー比較</x:v>
      </x:c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 ht="24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 ht="24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</x:row>
    <x:row r="5" ht="30" customHeight="1">
      <x:c r="A5" s="1"/>
      <x:c r="B5" s="4" t="str">
        <x:v>項目</x:v>
      </x:c>
      <x:c r="C5" s="4" t="str">
        <x:v>要求・共通条件</x:v>
      </x:c>
      <x:c r="D5" s="4" t="str">
        <x:v>A社回答</x:v>
      </x:c>
      <x:c r="E5" s="4" t="str">
        <x:v>B社回答</x:v>
      </x:c>
      <x:c r="F5" s="4" t="str">
        <x:v>C社回答</x:v>
      </x:c>
      <x:c r="G5" s="4" t="str">
        <x:v>根拠・未確認</x:v>
      </x:c>
      <x:c r="H5" s="1"/>
      <x:c r="I5" s="1"/>
      <x:c r="J5" s="1"/>
      <x:c r="K5" s="1"/>
      <x:c r="L5" s="1"/>
    </x:row>
    <x:row r="6" ht="48" customHeight="1">
      <x:c r="A6" s="1"/>
      <x:c r="B6" s="15" t="str">
        <x:v>対象施設</x:v>
      </x:c>
      <x:c r="C6" s="15" t="str">
        <x:v>所在地・用途・契約者・所有者</x:v>
      </x:c>
      <x:c r="D6" s="15" t="str"/>
      <x:c r="E6" s="15" t="str"/>
      <x:c r="F6" s="15" t="str"/>
      <x:c r="G6" s="15" t="str"/>
      <x:c r="H6" s="1"/>
      <x:c r="I6" s="1"/>
      <x:c r="J6" s="1"/>
      <x:c r="K6" s="1"/>
      <x:c r="L6" s="1"/>
    </x:row>
    <x:row r="7" ht="48" customHeight="1">
      <x:c r="A7" s="1"/>
      <x:c r="B7" s="15" t="str">
        <x:v>需要・操業</x:v>
      </x:c>
      <x:c r="C7" s="15" t="str">
        <x:v>12か月請求・30分値・休業日</x:v>
      </x:c>
      <x:c r="D7" s="15" t="str"/>
      <x:c r="E7" s="15" t="str"/>
      <x:c r="F7" s="15" t="str"/>
      <x:c r="G7" s="15" t="str"/>
      <x:c r="H7" s="1"/>
      <x:c r="I7" s="1"/>
      <x:c r="J7" s="1"/>
      <x:c r="K7" s="1"/>
      <x:c r="L7" s="1"/>
    </x:row>
    <x:row r="8" ht="48" customHeight="1">
      <x:c r="A8" s="1"/>
      <x:c r="B8" s="15" t="str">
        <x:v>評価期間</x:v>
      </x:c>
      <x:c r="C8" s="15" t="str">
        <x:v>全社共通。継続使用期間を照合</x:v>
      </x:c>
      <x:c r="D8" s="15" t="str"/>
      <x:c r="E8" s="15" t="str"/>
      <x:c r="F8" s="15" t="str"/>
      <x:c r="G8" s="15" t="str"/>
      <x:c r="H8" s="1"/>
      <x:c r="I8" s="1"/>
      <x:c r="J8" s="1"/>
      <x:c r="K8" s="1"/>
      <x:c r="L8" s="1"/>
    </x:row>
    <x:row r="9" ht="48" customHeight="1">
      <x:c r="A9" s="1"/>
      <x:c r="B9" s="15" t="str">
        <x:v>設備諸元</x:v>
      </x:c>
      <x:c r="C9" s="15" t="str">
        <x:v>DC/AC、発電条件、積雪、日陰</x:v>
      </x:c>
      <x:c r="D9" s="15" t="str"/>
      <x:c r="E9" s="15" t="str"/>
      <x:c r="F9" s="15" t="str"/>
      <x:c r="G9" s="15" t="str"/>
      <x:c r="H9" s="1"/>
      <x:c r="I9" s="1"/>
      <x:c r="J9" s="1"/>
      <x:c r="K9" s="1"/>
      <x:c r="L9" s="1"/>
    </x:row>
    <x:row r="10" ht="48" customHeight="1">
      <x:c r="A10" s="1"/>
      <x:c r="B10" s="15" t="str">
        <x:v>初期費用</x:v>
      </x:c>
      <x:c r="C10" s="15" t="str">
        <x:v>設計・施工・連系・補強の内訳</x:v>
      </x:c>
      <x:c r="D10" s="15" t="str"/>
      <x:c r="E10" s="15" t="str"/>
      <x:c r="F10" s="15" t="str"/>
      <x:c r="G10" s="15" t="str"/>
      <x:c r="H10" s="1"/>
      <x:c r="I10" s="1"/>
      <x:c r="J10" s="1"/>
      <x:c r="K10" s="1"/>
      <x:c r="L10" s="1"/>
    </x:row>
    <x:row r="11" ht="48" customHeight="1">
      <x:c r="A11" s="1"/>
      <x:c r="B11" s="15" t="str">
        <x:v>自家消費</x:v>
      </x:c>
      <x:c r="C11" s="15" t="str">
        <x:v>休日・需要減を含む時系列</x:v>
      </x:c>
      <x:c r="D11" s="15" t="str"/>
      <x:c r="E11" s="15" t="str"/>
      <x:c r="F11" s="15" t="str"/>
      <x:c r="G11" s="15" t="str"/>
      <x:c r="H11" s="1"/>
      <x:c r="I11" s="1"/>
      <x:c r="J11" s="1"/>
      <x:c r="K11" s="1"/>
      <x:c r="L11" s="1"/>
    </x:row>
    <x:row r="12" ht="48" customHeight="1">
      <x:c r="A12" s="1"/>
      <x:c r="B12" s="15" t="str">
        <x:v>PPA請求</x:v>
      </x:c>
      <x:c r="C12" s="15" t="str">
        <x:v>自家消費/全量、最低購入、改定</x:v>
      </x:c>
      <x:c r="D12" s="15" t="str"/>
      <x:c r="E12" s="15" t="str"/>
      <x:c r="F12" s="15" t="str"/>
      <x:c r="G12" s="15" t="str"/>
      <x:c r="H12" s="1"/>
      <x:c r="I12" s="1"/>
      <x:c r="J12" s="1"/>
      <x:c r="K12" s="1"/>
      <x:c r="L12" s="1"/>
    </x:row>
    <x:row r="13" ht="48" customHeight="1">
      <x:c r="A13" s="1"/>
      <x:c r="B13" s="15" t="str">
        <x:v>リース</x:v>
      </x:c>
      <x:c r="C13" s="15" t="str">
        <x:v>保守・交換・満了・中途解約</x:v>
      </x:c>
      <x:c r="D13" s="15" t="str"/>
      <x:c r="E13" s="15" t="str"/>
      <x:c r="F13" s="15" t="str"/>
      <x:c r="G13" s="15" t="str"/>
      <x:c r="H13" s="1"/>
      <x:c r="I13" s="1"/>
      <x:c r="J13" s="1"/>
      <x:c r="K13" s="1"/>
      <x:c r="L13" s="1"/>
    </x:row>
    <x:row r="14" ht="48" customHeight="1">
      <x:c r="A14" s="1"/>
      <x:c r="B14" s="15" t="str">
        <x:v>環境価値</x:v>
      </x:c>
      <x:c r="C14" s="15" t="str">
        <x:v>帰属・証書・二重主張防止</x:v>
      </x:c>
      <x:c r="D14" s="15" t="str"/>
      <x:c r="E14" s="15" t="str"/>
      <x:c r="F14" s="15" t="str"/>
      <x:c r="G14" s="15" t="str"/>
      <x:c r="H14" s="1"/>
      <x:c r="I14" s="1"/>
      <x:c r="J14" s="1"/>
      <x:c r="K14" s="1"/>
      <x:c r="L14" s="1"/>
    </x:row>
    <x:row r="15" ht="48" customHeight="1">
      <x:c r="A15" s="1"/>
      <x:c r="B15" s="15" t="str">
        <x:v>保守と保証</x:v>
      </x:c>
      <x:c r="C15" s="15" t="str">
        <x:v>主体・免責・期間・上限</x:v>
      </x:c>
      <x:c r="D15" s="15" t="str"/>
      <x:c r="E15" s="15" t="str"/>
      <x:c r="F15" s="15" t="str"/>
      <x:c r="G15" s="15" t="str"/>
      <x:c r="H15" s="1"/>
      <x:c r="I15" s="1"/>
      <x:c r="J15" s="1"/>
      <x:c r="K15" s="1"/>
      <x:c r="L15" s="1"/>
    </x:row>
    <x:row r="16" ht="48" customHeight="1">
      <x:c r="A16" s="1"/>
      <x:c r="B16" s="15" t="str">
        <x:v>BCP</x:v>
      </x:c>
      <x:c r="C16" s="15" t="str">
        <x:v>出力・回路・切替・開始SOC</x:v>
      </x:c>
      <x:c r="D16" s="15" t="str"/>
      <x:c r="E16" s="15" t="str"/>
      <x:c r="F16" s="15" t="str"/>
      <x:c r="G16" s="15" t="str"/>
      <x:c r="H16" s="1"/>
      <x:c r="I16" s="1"/>
      <x:c r="J16" s="1"/>
      <x:c r="K16" s="1"/>
      <x:c r="L16" s="1"/>
    </x:row>
    <x:row r="17" ht="48" customHeight="1">
      <x:c r="A17" s="1"/>
      <x:c r="B17" s="15" t="str">
        <x:v>撤去・改修</x:v>
      </x:c>
      <x:c r="C17" s="15" t="str">
        <x:v>費用負担、譲渡、原状回復</x:v>
      </x:c>
      <x:c r="D17" s="15" t="str"/>
      <x:c r="E17" s="15" t="str"/>
      <x:c r="F17" s="15" t="str"/>
      <x:c r="G17" s="15" t="str"/>
      <x:c r="H17" s="1"/>
      <x:c r="I17" s="1"/>
      <x:c r="J17" s="1"/>
      <x:c r="K17" s="1"/>
      <x:c r="L17" s="1"/>
    </x:row>
    <x:row r="18" ht="48" customHeight="1">
      <x:c r="A18" s="1"/>
      <x:c r="B18" s="15" t="str">
        <x:v>共同調達</x:v>
      </x:c>
      <x:c r="C18" s="15" t="str">
        <x:v>拠点脱落時の単価と責任</x:v>
      </x:c>
      <x:c r="D18" s="15" t="str"/>
      <x:c r="E18" s="15" t="str"/>
      <x:c r="F18" s="15" t="str"/>
      <x:c r="G18" s="15" t="str"/>
      <x:c r="H18" s="1"/>
      <x:c r="I18" s="1"/>
      <x:c r="J18" s="1"/>
      <x:c r="K18" s="1"/>
      <x:c r="L18" s="1"/>
    </x:row>
    <x:row r="19" ht="48" customHeight="1">
      <x:c r="A19" s="1"/>
      <x:c r="B19" s="15" t="str">
        <x:v>選定結果</x:v>
      </x:c>
      <x:c r="C19" s="15" t="str">
        <x:v>必須適合・採算・運用・理由</x:v>
      </x:c>
      <x:c r="D19" s="15" t="str"/>
      <x:c r="E19" s="15" t="str"/>
      <x:c r="F19" s="15" t="str"/>
      <x:c r="G19" s="15" t="str"/>
      <x:c r="H19" s="1"/>
      <x:c r="I19" s="1"/>
      <x:c r="J19" s="1"/>
      <x:c r="K19" s="1"/>
      <x:c r="L19" s="1"/>
    </x:row>
    <x:row r="20" ht="24" customHeight="1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</x:row>
    <x:row r="21" ht="24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</x:row>
    <x:row r="22" ht="24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</x:row>
    <x:row r="23" ht="24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</x:row>
    <x:row r="25" ht="24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</x:row>
    <x:row r="26" ht="24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</x:row>
    <x:row r="27" ht="24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</x:row>
    <x:row r="28" ht="24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</x:row>
    <x:row r="29" ht="24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</x:row>
    <x:row r="30" ht="24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</x:row>
    <x:row r="31" ht="24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</x:row>
    <x:row r="32" ht="24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</x:row>
    <x:row r="33" ht="24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</x:row>
    <x:row r="34" ht="24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</x:row>
    <x:row r="35" ht="24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</x:row>
    <x:row r="36" ht="24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</x:row>
    <x:row r="37" ht="24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</x:row>
    <x:row r="38" ht="24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</x:row>
    <x:row r="39" ht="24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</x:row>
    <x:row r="40" ht="24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</x:row>
    <x:row r="41" ht="24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</x:row>
    <x:row r="42" ht="24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</x:row>
    <x:row r="43" ht="24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</x:row>
    <x:row r="44" ht="24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</x:row>
    <x:row r="45" ht="24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</x:row>
    <x:row r="46" ht="24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</x:row>
    <x:row r="47" ht="24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</x:row>
    <x:row r="48" ht="24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</x:row>
    <x:row r="49" ht="24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</x:row>
    <x:row r="50" ht="24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</x:row>
    <x:row r="51" ht="24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</x:row>
    <x:row r="52" ht="24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</x:row>
    <x:row r="53" ht="24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</x:row>
    <x:row r="54" ht="24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</x:row>
    <x:row r="55" ht="24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</x:row>
    <x:row r="56" ht="24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</x:row>
    <x:row r="57" ht="24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</x:row>
    <x:row r="58" ht="24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</x:row>
    <x:row r="59" ht="24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</x:row>
    <x:row r="60" ht="24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</x:row>
    <x:row r="61" ht="24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</x:row>
    <x:row r="62" ht="24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</x:row>
    <x:row r="63" ht="24" customHeight="1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</x:row>
    <x:row r="64" ht="24" customHeight="1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</x:row>
    <x:row r="65" ht="24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</x:row>
    <x:row r="66" ht="24" customHeight="1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</x:row>
    <x:row r="67" ht="24" customHeight="1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</x:row>
    <x:row r="68" ht="24" customHeight="1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</x:row>
    <x:row r="69" ht="24" customHeight="1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</x:row>
    <x:row r="70" ht="24" customHeight="1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" hidden="0" customWidth="1"/>
    <x:col min="2" max="2" width="33" hidden="0" customWidth="1"/>
    <x:col min="3" max="3" width="17" hidden="0" customWidth="1"/>
    <x:col min="4" max="4" width="48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 ht="24" customHeight="1">
      <x:c r="A2" s="1"/>
      <x:c r="B2" s="2" t="str">
        <x:v>BCPの継続時間と期待回避額</x:v>
      </x:c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 ht="24" customHeight="1">
      <x:c r="A3" s="1"/>
      <x:c r="B3" s="1" t="str">
        <x:v>出力・切替・回路・保安設計は別途確認。期待値は確定利益ではありません。</x:v>
      </x:c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 ht="24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</x:row>
    <x:row r="5" ht="30" customHeight="1">
      <x:c r="A5" s="1"/>
      <x:c r="B5" s="4" t="str">
        <x:v>入力</x:v>
      </x:c>
      <x:c r="C5" s="4" t="str">
        <x:v>値</x:v>
      </x:c>
      <x:c r="D5" s="4" t="str">
        <x:v>単位・意味</x:v>
      </x:c>
      <x:c r="E5" s="1"/>
      <x:c r="F5" s="1"/>
      <x:c r="G5" s="1"/>
      <x:c r="H5" s="1"/>
      <x:c r="I5" s="1"/>
      <x:c r="J5" s="1"/>
      <x:c r="K5" s="1"/>
      <x:c r="L5" s="1"/>
    </x:row>
    <x:row r="6" ht="24" customHeight="1">
      <x:c r="A6" s="1"/>
      <x:c r="B6" s="1" t="str">
        <x:v>劣化後実容量</x:v>
      </x:c>
      <x:c r="C6" s="5" t="n">
        <x:v>100</x:v>
      </x:c>
      <x:c r="D6" s="1" t="str">
        <x:v>kWh</x:v>
      </x:c>
      <x:c r="E6" s="1"/>
      <x:c r="F6" s="1"/>
      <x:c r="G6" s="1"/>
      <x:c r="H6" s="1"/>
      <x:c r="I6" s="1"/>
      <x:c r="J6" s="1"/>
      <x:c r="K6" s="1"/>
      <x:c r="L6" s="1"/>
    </x:row>
    <x:row r="7" ht="24" customHeight="1">
      <x:c r="A7" s="1"/>
      <x:c r="B7" s="1" t="str">
        <x:v>停電開始SOC</x:v>
      </x:c>
      <x:c r="C7" s="16" t="n">
        <x:v>0.8</x:v>
      </x:c>
      <x:c r="D7" s="1" t="str">
        <x:v>比率</x:v>
      </x:c>
      <x:c r="E7" s="1"/>
      <x:c r="F7" s="1"/>
      <x:c r="G7" s="1"/>
      <x:c r="H7" s="1"/>
      <x:c r="I7" s="1"/>
      <x:c r="J7" s="1"/>
      <x:c r="K7" s="1"/>
      <x:c r="L7" s="1"/>
    </x:row>
    <x:row r="8" ht="24" customHeight="1">
      <x:c r="A8" s="1"/>
      <x:c r="B8" s="1" t="str">
        <x:v>運転下限SOC</x:v>
      </x:c>
      <x:c r="C8" s="16" t="n">
        <x:v>0.1</x:v>
      </x:c>
      <x:c r="D8" s="1" t="str">
        <x:v>比率</x:v>
      </x:c>
      <x:c r="E8" s="1"/>
      <x:c r="F8" s="1"/>
      <x:c r="G8" s="1"/>
      <x:c r="H8" s="1"/>
      <x:c r="I8" s="1"/>
      <x:c r="J8" s="1"/>
      <x:c r="K8" s="1"/>
      <x:c r="L8" s="1"/>
    </x:row>
    <x:row r="9" ht="24" customHeight="1">
      <x:c r="A9" s="1"/>
      <x:c r="B9" s="1" t="str">
        <x:v>放電効率</x:v>
      </x:c>
      <x:c r="C9" s="16" t="n">
        <x:v>0.95</x:v>
      </x:c>
      <x:c r="D9" s="1" t="str">
        <x:v>比率</x:v>
      </x:c>
      <x:c r="E9" s="1"/>
      <x:c r="F9" s="1"/>
      <x:c r="G9" s="1"/>
      <x:c r="H9" s="1"/>
      <x:c r="I9" s="1"/>
      <x:c r="J9" s="1"/>
      <x:c r="K9" s="1"/>
      <x:c r="L9" s="1"/>
    </x:row>
    <x:row r="10" ht="24" customHeight="1">
      <x:c r="A10" s="1"/>
      <x:c r="B10" s="1" t="str">
        <x:v>重要負荷</x:v>
      </x:c>
      <x:c r="C10" s="5" t="n">
        <x:v>10</x:v>
      </x:c>
      <x:c r="D10" s="1" t="str">
        <x:v>kW</x:v>
      </x:c>
      <x:c r="E10" s="1"/>
      <x:c r="F10" s="1"/>
      <x:c r="G10" s="1"/>
      <x:c r="H10" s="1"/>
      <x:c r="I10" s="1"/>
      <x:c r="J10" s="1"/>
      <x:c r="K10" s="1"/>
      <x:c r="L10" s="1"/>
    </x:row>
    <x:row r="11" ht="24" customHeight="1">
      <x:c r="A11" s="1"/>
      <x:c r="B11" s="1" t="str">
        <x:v>自立運転出力</x:v>
      </x:c>
      <x:c r="C11" s="5" t="n">
        <x:v>20</x:v>
      </x:c>
      <x:c r="D11" s="1" t="str">
        <x:v>kW</x:v>
      </x:c>
      <x:c r="E11" s="1"/>
      <x:c r="F11" s="1"/>
      <x:c r="G11" s="1"/>
      <x:c r="H11" s="1"/>
      <x:c r="I11" s="1"/>
      <x:c r="J11" s="1"/>
      <x:c r="K11" s="1"/>
      <x:c r="L11" s="1"/>
    </x:row>
    <x:row r="12" ht="24" customHeight="1">
      <x:c r="A12" s="1"/>
      <x:c r="B12" s="1" t="str">
        <x:v>想定停電時間</x:v>
      </x:c>
      <x:c r="C12" s="5" t="n">
        <x:v>8</x:v>
      </x:c>
      <x:c r="D12" s="1" t="str">
        <x:v>時間/回</x:v>
      </x:c>
      <x:c r="E12" s="1"/>
      <x:c r="F12" s="1"/>
      <x:c r="G12" s="1"/>
      <x:c r="H12" s="1"/>
      <x:c r="I12" s="1"/>
      <x:c r="J12" s="1"/>
      <x:c r="K12" s="1"/>
      <x:c r="L12" s="1"/>
    </x:row>
    <x:row r="13" ht="24" customHeight="1">
      <x:c r="A13" s="1"/>
      <x:c r="B13" s="1" t="str">
        <x:v>回復不能な利益損失</x:v>
      </x:c>
      <x:c r="C13" s="5" t="n">
        <x:v>30000</x:v>
      </x:c>
      <x:c r="D13" s="1" t="str">
        <x:v>円/時間</x:v>
      </x:c>
      <x:c r="E13" s="1"/>
      <x:c r="F13" s="1"/>
      <x:c r="G13" s="1"/>
      <x:c r="H13" s="1"/>
      <x:c r="I13" s="1"/>
      <x:c r="J13" s="1"/>
      <x:c r="K13" s="1"/>
      <x:c r="L13" s="1"/>
    </x:row>
    <x:row r="14" ht="42" customHeight="1">
      <x:c r="A14" s="1"/>
      <x:c r="B14" s="1" t="str">
        <x:v>その他回避可能損失</x:v>
      </x:c>
      <x:c r="C14" s="5" t="n">
        <x:v>0</x:v>
      </x:c>
      <x:c r="D14" s="15" t="str">
        <x:v>円/回。部分給電でも回避できる額のみ</x:v>
      </x:c>
      <x:c r="E14" s="1"/>
      <x:c r="F14" s="1"/>
      <x:c r="G14" s="1"/>
      <x:c r="H14" s="1"/>
      <x:c r="I14" s="1"/>
      <x:c r="J14" s="1"/>
      <x:c r="K14" s="1"/>
      <x:c r="L14" s="1"/>
    </x:row>
    <x:row r="15" ht="24" customHeight="1">
      <x:c r="A15" s="1"/>
      <x:c r="B15" s="1" t="str">
        <x:v>年発生回数の仮定</x:v>
      </x:c>
      <x:c r="C15" s="5" t="n">
        <x:v>0.1</x:v>
      </x:c>
      <x:c r="D15" s="1" t="str">
        <x:v>回/年（実績値ではない）</x:v>
      </x:c>
      <x:c r="E15" s="1"/>
      <x:c r="F15" s="1"/>
      <x:c r="G15" s="1"/>
      <x:c r="H15" s="1"/>
      <x:c r="I15" s="1"/>
      <x:c r="J15" s="1"/>
      <x:c r="K15" s="1"/>
      <x:c r="L15" s="1"/>
    </x:row>
    <x:row r="16" ht="24" customHeight="1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</x:row>
    <x:row r="17" ht="24" customHeight="1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</x:row>
    <x:row r="18" ht="24" customHeight="1">
      <x:c r="A18" s="1"/>
      <x:c r="B18" s="1" t="str">
        <x:v>利用可能エネルギー kWh</x:v>
      </x:c>
      <x:c r="C18" s="17" t="n">
        <x:f>IF(OR(COUNT(C6:C15)&lt;&gt;10,C7&lt;C8,MIN(C6:C15)&lt;0,C7&gt;1,C8&gt;1,C9&gt;1,C9=0,C10=0),"入力確認",C6*(C7-C8)*C9)</x:f>
        <x:v>66.5</x:v>
      </x:c>
      <x:c r="D18" s="1"/>
      <x:c r="E18" s="1"/>
      <x:c r="F18" s="1"/>
      <x:c r="G18" s="1"/>
      <x:c r="H18" s="1"/>
      <x:c r="I18" s="1"/>
      <x:c r="J18" s="1"/>
      <x:c r="K18" s="1"/>
      <x:c r="L18" s="1"/>
    </x:row>
    <x:row r="19" ht="24" customHeight="1">
      <x:c r="A19" s="1"/>
      <x:c r="B19" s="1" t="str">
        <x:v>エネルギー上の継続時間 h</x:v>
      </x:c>
      <x:c r="C19" s="17" t="n">
        <x:f>IF(ISNUMBER(C18),C18/C10,"入力確認")</x:f>
        <x:v>6.65</x:v>
      </x:c>
      <x:c r="D19" s="1"/>
      <x:c r="E19" s="1"/>
      <x:c r="F19" s="1"/>
      <x:c r="G19" s="1"/>
      <x:c r="H19" s="1"/>
      <x:c r="I19" s="1"/>
      <x:c r="J19" s="1"/>
      <x:c r="K19" s="1"/>
      <x:c r="L19" s="1"/>
    </x:row>
    <x:row r="20" ht="24" customHeight="1">
      <x:c r="A20" s="1"/>
      <x:c r="B20" s="1" t="str">
        <x:v>定常出力条件</x:v>
      </x:c>
      <x:c r="C20" s="1" t="str">
        <x:f>IF(COUNT(C10:C11)&lt;&gt;2,"入力確認",IF(C11&gt;=C10,"定常負荷を満たす","出力不足"))</x:f>
        <x:v>定常負荷を満たす</x:v>
      </x:c>
      <x:c r="D20" s="1"/>
      <x:c r="E20" s="1"/>
      <x:c r="F20" s="1"/>
      <x:c r="G20" s="1"/>
      <x:c r="H20" s="1"/>
      <x:c r="I20" s="1"/>
      <x:c r="J20" s="1"/>
      <x:c r="K20" s="1"/>
      <x:c r="L20" s="1"/>
    </x:row>
    <x:row r="21" ht="24" customHeight="1">
      <x:c r="A21" s="1"/>
      <x:c r="B21" s="1" t="str">
        <x:v>年期待回避額 円</x:v>
      </x:c>
      <x:c r="C21" s="12" t="n">
        <x:f>IF(AND(ISNUMBER(C19),C20="定常負荷を満たす"),(MIN(C19,C12)*C13+IF(MIN(C19,C12)&gt;0,C14,0))*C15,"算定保留")</x:f>
        <x:v>19950</x:v>
      </x:c>
      <x:c r="D21" s="1"/>
      <x:c r="E21" s="1"/>
      <x:c r="F21" s="1"/>
      <x:c r="G21" s="1"/>
      <x:c r="H21" s="1"/>
      <x:c r="I21" s="1"/>
      <x:c r="J21" s="1"/>
      <x:c r="K21" s="1"/>
      <x:c r="L21" s="1"/>
    </x:row>
    <x:row r="22" ht="24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</x:row>
    <x:row r="23" ht="24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</x:row>
    <x:row r="25" ht="24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</x:row>
    <x:row r="26" ht="24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</x:row>
    <x:row r="27" ht="24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</x:row>
    <x:row r="28" ht="24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</x:row>
    <x:row r="29" ht="24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</x:row>
    <x:row r="30" ht="24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</x:row>
    <x:row r="31" ht="24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</x:row>
    <x:row r="32" ht="24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</x:row>
    <x:row r="33" ht="24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</x:row>
    <x:row r="34" ht="24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</x:row>
    <x:row r="35" ht="24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</x:row>
    <x:row r="36" ht="24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</x:row>
    <x:row r="37" ht="24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</x:row>
    <x:row r="38" ht="24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</x:row>
    <x:row r="39" ht="24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</x:row>
    <x:row r="40" ht="24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</x:row>
    <x:row r="41" ht="24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</x:row>
    <x:row r="42" ht="24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</x:row>
    <x:row r="43" ht="24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</x:row>
    <x:row r="44" ht="24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</x:row>
    <x:row r="45" ht="24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</x:row>
    <x:row r="46" ht="24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</x:row>
    <x:row r="47" ht="24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</x:row>
    <x:row r="48" ht="24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</x:row>
    <x:row r="49" ht="24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</x:row>
    <x:row r="50" ht="24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</x:row>
    <x:row r="51" ht="24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</x:row>
    <x:row r="52" ht="24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</x:row>
    <x:row r="53" ht="24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</x:row>
    <x:row r="54" ht="24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</x:row>
    <x:row r="55" ht="24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</x:row>
    <x:row r="56" ht="24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</x:row>
    <x:row r="57" ht="24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</x:row>
    <x:row r="58" ht="24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</x:row>
    <x:row r="59" ht="24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</x:row>
    <x:row r="60" ht="24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</x:row>
    <x:row r="61" ht="24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</x:row>
    <x:row r="62" ht="24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</x:row>
    <x:row r="63" ht="24" customHeight="1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</x:row>
    <x:row r="64" ht="24" customHeight="1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</x:row>
    <x:row r="65" ht="24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</x:row>
    <x:row r="66" ht="24" customHeight="1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</x:row>
    <x:row r="67" ht="24" customHeight="1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</x:row>
    <x:row r="68" ht="24" customHeight="1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</x:row>
    <x:row r="69" ht="24" customHeight="1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</x:row>
    <x:row r="70" ht="24" customHeight="1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" hidden="0" customWidth="1"/>
    <x:col min="2" max="2" width="33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 ht="24" customHeight="1">
      <x:c r="A2" s="1"/>
      <x:c r="B2" s="2" t="str">
        <x:v>電力契約の年間費用比較</x:v>
      </x:c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 ht="24" customHeight="1">
      <x:c r="A3" s="1"/>
      <x:c r="B3" s="1" t="str">
        <x:v>同じ使用量・契約電力、税区分・費目で比較。月別・30分料金は別計算。</x:v>
      </x:c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 ht="24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</x:row>
    <x:row r="5" ht="30" customHeight="1">
      <x:c r="A5" s="1"/>
      <x:c r="B5" s="4" t="str">
        <x:v>入力</x:v>
      </x:c>
      <x:c r="C5" s="4" t="str">
        <x:v>値</x:v>
      </x:c>
      <x:c r="D5" s="4" t="str">
        <x:v>単位</x:v>
      </x:c>
      <x:c r="E5" s="1"/>
      <x:c r="F5" s="1"/>
      <x:c r="G5" s="1"/>
      <x:c r="H5" s="1"/>
      <x:c r="I5" s="1"/>
      <x:c r="J5" s="1"/>
      <x:c r="K5" s="1"/>
      <x:c r="L5" s="1"/>
    </x:row>
    <x:row r="6" ht="24" customHeight="1">
      <x:c r="A6" s="1"/>
      <x:c r="B6" s="1" t="str">
        <x:v>年間使用量</x:v>
      </x:c>
      <x:c r="C6" s="5" t="n">
        <x:v>500000</x:v>
      </x:c>
      <x:c r="D6" s="1" t="str">
        <x:v>kWh</x:v>
      </x:c>
      <x:c r="E6" s="1"/>
      <x:c r="F6" s="1"/>
      <x:c r="G6" s="1"/>
      <x:c r="H6" s="1"/>
      <x:c r="I6" s="1"/>
      <x:c r="J6" s="1"/>
      <x:c r="K6" s="1"/>
      <x:c r="L6" s="1"/>
    </x:row>
    <x:row r="7" ht="24" customHeight="1">
      <x:c r="A7" s="1"/>
      <x:c r="B7" s="1" t="str">
        <x:v>契約電力</x:v>
      </x:c>
      <x:c r="C7" s="5" t="n">
        <x:v>150</x:v>
      </x:c>
      <x:c r="D7" s="1" t="str">
        <x:v>kW</x:v>
      </x:c>
      <x:c r="E7" s="1"/>
      <x:c r="F7" s="1"/>
      <x:c r="G7" s="1"/>
      <x:c r="H7" s="1"/>
      <x:c r="I7" s="1"/>
      <x:c r="J7" s="1"/>
      <x:c r="K7" s="1"/>
      <x:c r="L7" s="1"/>
    </x:row>
    <x:row r="8" ht="24" customHeight="1">
      <x:c r="A8" s="1"/>
      <x:c r="B8" s="1" t="str">
        <x:v>現行従量単価</x:v>
      </x:c>
      <x:c r="C8" s="5" t="n">
        <x:v>25</x:v>
      </x:c>
      <x:c r="D8" s="1" t="str">
        <x:v>円/kWh</x:v>
      </x:c>
      <x:c r="E8" s="1"/>
      <x:c r="F8" s="1"/>
      <x:c r="G8" s="1"/>
      <x:c r="H8" s="1"/>
      <x:c r="I8" s="1"/>
      <x:c r="J8" s="1"/>
      <x:c r="K8" s="1"/>
      <x:c r="L8" s="1"/>
    </x:row>
    <x:row r="9" ht="24" customHeight="1">
      <x:c r="A9" s="1"/>
      <x:c r="B9" s="1" t="str">
        <x:v>候補従量単価</x:v>
      </x:c>
      <x:c r="C9" s="5" t="n">
        <x:v>23</x:v>
      </x:c>
      <x:c r="D9" s="1" t="str">
        <x:v>円/kWh</x:v>
      </x:c>
      <x:c r="E9" s="1"/>
      <x:c r="F9" s="1"/>
      <x:c r="G9" s="1"/>
      <x:c r="H9" s="1"/>
      <x:c r="I9" s="1"/>
      <x:c r="J9" s="1"/>
      <x:c r="K9" s="1"/>
      <x:c r="L9" s="1"/>
    </x:row>
    <x:row r="10" ht="24" customHeight="1">
      <x:c r="A10" s="1"/>
      <x:c r="B10" s="1" t="str">
        <x:v>現行基本料金単価</x:v>
      </x:c>
      <x:c r="C10" s="5" t="n">
        <x:v>1700</x:v>
      </x:c>
      <x:c r="D10" s="1" t="str">
        <x:v>円/kW・月</x:v>
      </x:c>
      <x:c r="E10" s="1"/>
      <x:c r="F10" s="1"/>
      <x:c r="G10" s="1"/>
      <x:c r="H10" s="1"/>
      <x:c r="I10" s="1"/>
      <x:c r="J10" s="1"/>
      <x:c r="K10" s="1"/>
      <x:c r="L10" s="1"/>
    </x:row>
    <x:row r="11" ht="24" customHeight="1">
      <x:c r="A11" s="1"/>
      <x:c r="B11" s="1" t="str">
        <x:v>候補基本料金単価</x:v>
      </x:c>
      <x:c r="C11" s="5" t="n">
        <x:v>1800</x:v>
      </x:c>
      <x:c r="D11" s="1" t="str">
        <x:v>円/kW・月</x:v>
      </x:c>
      <x:c r="E11" s="1"/>
      <x:c r="F11" s="1"/>
      <x:c r="G11" s="1"/>
      <x:c r="H11" s="1"/>
      <x:c r="I11" s="1"/>
      <x:c r="J11" s="1"/>
      <x:c r="K11" s="1"/>
      <x:c r="L11" s="1"/>
    </x:row>
    <x:row r="12" ht="24" customHeight="1">
      <x:c r="A12" s="1"/>
      <x:c r="B12" s="1" t="str">
        <x:v>現行年間その他費用</x:v>
      </x:c>
      <x:c r="C12" s="5" t="n">
        <x:v>0</x:v>
      </x:c>
      <x:c r="D12" s="1" t="str">
        <x:v>円</x:v>
      </x:c>
      <x:c r="E12" s="1"/>
      <x:c r="F12" s="1"/>
      <x:c r="G12" s="1"/>
      <x:c r="H12" s="1"/>
      <x:c r="I12" s="1"/>
      <x:c r="J12" s="1"/>
      <x:c r="K12" s="1"/>
      <x:c r="L12" s="1"/>
    </x:row>
    <x:row r="13" ht="24" customHeight="1">
      <x:c r="A13" s="1"/>
      <x:c r="B13" s="1" t="str">
        <x:v>候補年間その他費用</x:v>
      </x:c>
      <x:c r="C13" s="5" t="n">
        <x:v>0</x:v>
      </x:c>
      <x:c r="D13" s="1" t="str">
        <x:v>円</x:v>
      </x:c>
      <x:c r="E13" s="1"/>
      <x:c r="F13" s="1"/>
      <x:c r="G13" s="1"/>
      <x:c r="H13" s="1"/>
      <x:c r="I13" s="1"/>
      <x:c r="J13" s="1"/>
      <x:c r="K13" s="1"/>
      <x:c r="L13" s="1"/>
    </x:row>
    <x:row r="14" ht="24" customHeight="1">
      <x:c r="A14" s="1"/>
      <x:c r="B14" s="1" t="str">
        <x:v>初年度切替・解約費</x:v>
      </x:c>
      <x:c r="C14" s="5" t="n">
        <x:v>0</x:v>
      </x:c>
      <x:c r="D14" s="1" t="str">
        <x:v>円</x:v>
      </x:c>
      <x:c r="E14" s="1"/>
      <x:c r="F14" s="1"/>
      <x:c r="G14" s="1"/>
      <x:c r="H14" s="1"/>
      <x:c r="I14" s="1"/>
      <x:c r="J14" s="1"/>
      <x:c r="K14" s="1"/>
      <x:c r="L14" s="1"/>
    </x:row>
    <x:row r="15" ht="24" customHeight="1">
      <x:c r="A15" s="1"/>
      <x:c r="B15" s="1" t="str">
        <x:v>候補単価の上振れ仮定</x:v>
      </x:c>
      <x:c r="C15" s="5" t="n">
        <x:v>5</x:v>
      </x:c>
      <x:c r="D15" s="1" t="str">
        <x:v>円/kWh</x:v>
      </x:c>
      <x:c r="E15" s="1"/>
      <x:c r="F15" s="1"/>
      <x:c r="G15" s="1"/>
      <x:c r="H15" s="1"/>
      <x:c r="I15" s="1"/>
      <x:c r="J15" s="1"/>
      <x:c r="K15" s="1"/>
      <x:c r="L15" s="1"/>
    </x:row>
    <x:row r="16" ht="24" customHeight="1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</x:row>
    <x:row r="17" ht="24" customHeight="1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</x:row>
    <x:row r="18" ht="24" customHeight="1">
      <x:c r="A18" s="1"/>
      <x:c r="B18" s="1" t="str">
        <x:v>現行年額 円</x:v>
      </x:c>
      <x:c r="C18" s="12" t="n">
        <x:f>IF(OR(COUNT(C6:C15)&lt;&gt;10,MIN(C6:C15)&lt;0),"入力確認",C6*C8+C7*C10*12+C12)</x:f>
        <x:v>15560000</x:v>
      </x:c>
      <x:c r="D18" s="1"/>
      <x:c r="E18" s="1"/>
      <x:c r="F18" s="1"/>
      <x:c r="G18" s="1"/>
      <x:c r="H18" s="1"/>
      <x:c r="I18" s="1"/>
      <x:c r="J18" s="1"/>
      <x:c r="K18" s="1"/>
      <x:c r="L18" s="1"/>
    </x:row>
    <x:row r="19" ht="24" customHeight="1">
      <x:c r="A19" s="1"/>
      <x:c r="B19" s="1" t="str">
        <x:v>候補初年度年額 円</x:v>
      </x:c>
      <x:c r="C19" s="12" t="n">
        <x:f>IF(OR(COUNT(C6:C15)&lt;&gt;10,MIN(C6:C15)&lt;0),"入力確認",C6*C9+C7*C11*12+C13+C14)</x:f>
        <x:v>14740000</x:v>
      </x:c>
      <x:c r="D19" s="1"/>
      <x:c r="E19" s="1"/>
      <x:c r="F19" s="1"/>
      <x:c r="G19" s="1"/>
      <x:c r="H19" s="1"/>
      <x:c r="I19" s="1"/>
      <x:c r="J19" s="1"/>
      <x:c r="K19" s="1"/>
      <x:c r="L19" s="1"/>
    </x:row>
    <x:row r="20" ht="24" customHeight="1">
      <x:c r="A20" s="1"/>
      <x:c r="B20" s="1" t="str">
        <x:v>初年度削減 円</x:v>
      </x:c>
      <x:c r="C20" s="12" t="n">
        <x:f>IF(AND(ISNUMBER(C18),ISNUMBER(C19)),C18-C19,"入力確認")</x:f>
        <x:v>820000</x:v>
      </x:c>
      <x:c r="D20" s="1"/>
      <x:c r="E20" s="1"/>
      <x:c r="F20" s="1"/>
      <x:c r="G20" s="1"/>
      <x:c r="H20" s="1"/>
      <x:c r="I20" s="1"/>
      <x:c r="J20" s="1"/>
      <x:c r="K20" s="1"/>
      <x:c r="L20" s="1"/>
    </x:row>
    <x:row r="21" ht="24" customHeight="1">
      <x:c r="A21" s="1"/>
      <x:c r="B21" s="1" t="str">
        <x:v>候補上振れ時の年額 円</x:v>
      </x:c>
      <x:c r="C21" s="12" t="n">
        <x:f>IF(OR(COUNT(C6:C15)&lt;&gt;10,MIN(C6:C15)&lt;0),"入力確認",C6*(C9+C15)+C7*C11*12+C13+C14)</x:f>
        <x:v>17240000</x:v>
      </x:c>
      <x:c r="D21" s="1"/>
      <x:c r="E21" s="1"/>
      <x:c r="F21" s="1"/>
      <x:c r="G21" s="1"/>
      <x:c r="H21" s="1"/>
      <x:c r="I21" s="1"/>
      <x:c r="J21" s="1"/>
      <x:c r="K21" s="1"/>
      <x:c r="L21" s="1"/>
    </x:row>
    <x:row r="22" ht="24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</x:row>
    <x:row r="23" ht="24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</x:row>
    <x:row r="25" ht="24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</x:row>
    <x:row r="26" ht="24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</x:row>
    <x:row r="27" ht="24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</x:row>
    <x:row r="28" ht="24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</x:row>
    <x:row r="29" ht="24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</x:row>
    <x:row r="30" ht="24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</x:row>
    <x:row r="31" ht="24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</x:row>
    <x:row r="32" ht="24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</x:row>
    <x:row r="33" ht="24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</x:row>
    <x:row r="34" ht="24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</x:row>
    <x:row r="35" ht="24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</x:row>
    <x:row r="36" ht="24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</x:row>
    <x:row r="37" ht="24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</x:row>
    <x:row r="38" ht="24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</x:row>
    <x:row r="39" ht="24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</x:row>
    <x:row r="40" ht="24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</x:row>
    <x:row r="41" ht="24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</x:row>
    <x:row r="42" ht="24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</x:row>
    <x:row r="43" ht="24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</x:row>
    <x:row r="44" ht="24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</x:row>
    <x:row r="45" ht="24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</x:row>
    <x:row r="46" ht="24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</x:row>
    <x:row r="47" ht="24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</x:row>
    <x:row r="48" ht="24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</x:row>
    <x:row r="49" ht="24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</x:row>
    <x:row r="50" ht="24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</x:row>
    <x:row r="51" ht="24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</x:row>
    <x:row r="52" ht="24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</x:row>
    <x:row r="53" ht="24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</x:row>
    <x:row r="54" ht="24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</x:row>
    <x:row r="55" ht="24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</x:row>
    <x:row r="56" ht="24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</x:row>
    <x:row r="57" ht="24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</x:row>
    <x:row r="58" ht="24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</x:row>
    <x:row r="59" ht="24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</x:row>
    <x:row r="60" ht="24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</x:row>
    <x:row r="61" ht="24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</x:row>
    <x:row r="62" ht="24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</x:row>
    <x:row r="63" ht="24" customHeight="1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</x:row>
    <x:row r="64" ht="24" customHeight="1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</x:row>
    <x:row r="65" ht="24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</x:row>
    <x:row r="66" ht="24" customHeight="1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</x:row>
    <x:row r="67" ht="24" customHeight="1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</x:row>
    <x:row r="68" ht="24" customHeight="1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</x:row>
    <x:row r="69" ht="24" customHeight="1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</x:row>
    <x:row r="70" ht="24" customHeight="1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" hidden="0" customWidth="1"/>
    <x:col min="2" max="2" width="28" hidden="0" customWidth="1"/>
    <x:col min="3" max="3" width="42" hidden="0" customWidth="1"/>
    <x:col min="4" max="4" width="68" hidden="0" customWidth="1"/>
    <x:col min="5" max="5" width="28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 ht="24" customHeight="1">
      <x:c r="A2" s="1"/>
      <x:c r="B2" s="2" t="str">
        <x:v>補助金の確認台帳</x:v>
      </x:c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 ht="24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 ht="24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</x:row>
    <x:row r="5" ht="30" customHeight="1">
      <x:c r="A5" s="1"/>
      <x:c r="B5" s="4" t="str">
        <x:v>確認項目</x:v>
      </x:c>
      <x:c r="C5" s="4" t="str">
        <x:v>確認内容・入力欄</x:v>
      </x:c>
      <x:c r="D5" s="4" t="str">
        <x:v>根拠URL・資料版</x:v>
      </x:c>
      <x:c r="E5" s="4" t="str">
        <x:v>担当・確認日</x:v>
      </x:c>
      <x:c r="F5" s="1"/>
      <x:c r="G5" s="1"/>
      <x:c r="H5" s="1"/>
      <x:c r="I5" s="1"/>
      <x:c r="J5" s="1"/>
      <x:c r="K5" s="1"/>
      <x:c r="L5" s="1"/>
    </x:row>
    <x:row r="6" ht="48" customHeight="1">
      <x:c r="A6" s="1"/>
      <x:c r="B6" s="15" t="str">
        <x:v>対象制度</x:v>
      </x:c>
      <x:c r="C6" s="15" t="str"/>
      <x:c r="D6" s="15" t="str"/>
      <x:c r="E6" s="15" t="str"/>
      <x:c r="F6" s="1"/>
      <x:c r="G6" s="1"/>
      <x:c r="H6" s="1"/>
      <x:c r="I6" s="1"/>
      <x:c r="J6" s="1"/>
      <x:c r="K6" s="1"/>
      <x:c r="L6" s="1"/>
    </x:row>
    <x:row r="7" ht="48" customHeight="1">
      <x:c r="A7" s="1"/>
      <x:c r="B7" s="15" t="str">
        <x:v>申請者・所在地</x:v>
      </x:c>
      <x:c r="C7" s="15" t="str"/>
      <x:c r="D7" s="15" t="str"/>
      <x:c r="E7" s="15" t="str"/>
      <x:c r="F7" s="1"/>
      <x:c r="G7" s="1"/>
      <x:c r="H7" s="1"/>
      <x:c r="I7" s="1"/>
      <x:c r="J7" s="1"/>
      <x:c r="K7" s="1"/>
      <x:c r="L7" s="1"/>
    </x:row>
    <x:row r="8" ht="48" customHeight="1">
      <x:c r="A8" s="1"/>
      <x:c r="B8" s="15" t="str">
        <x:v>対象設備・経費</x:v>
      </x:c>
      <x:c r="C8" s="15" t="str"/>
      <x:c r="D8" s="15" t="str"/>
      <x:c r="E8" s="15" t="str"/>
      <x:c r="F8" s="1"/>
      <x:c r="G8" s="1"/>
      <x:c r="H8" s="1"/>
      <x:c r="I8" s="1"/>
      <x:c r="J8" s="1"/>
      <x:c r="K8" s="1"/>
      <x:c r="L8" s="1"/>
    </x:row>
    <x:row r="9" ht="48" customHeight="1">
      <x:c r="A9" s="1"/>
      <x:c r="B9" s="15" t="str">
        <x:v>補助率・上限</x:v>
      </x:c>
      <x:c r="C9" s="15" t="str"/>
      <x:c r="D9" s="15" t="str"/>
      <x:c r="E9" s="15" t="str"/>
      <x:c r="F9" s="1"/>
      <x:c r="G9" s="1"/>
      <x:c r="H9" s="1"/>
      <x:c r="I9" s="1"/>
      <x:c r="J9" s="1"/>
      <x:c r="K9" s="1"/>
      <x:c r="L9" s="1"/>
    </x:row>
    <x:row r="10" ht="48" customHeight="1">
      <x:c r="A10" s="1"/>
      <x:c r="B10" s="15" t="str">
        <x:v>公募期間・予算状況</x:v>
      </x:c>
      <x:c r="C10" s="15" t="str"/>
      <x:c r="D10" s="15" t="str"/>
      <x:c r="E10" s="15" t="str"/>
      <x:c r="F10" s="1"/>
      <x:c r="G10" s="1"/>
      <x:c r="H10" s="1"/>
      <x:c r="I10" s="1"/>
      <x:c r="J10" s="1"/>
      <x:c r="K10" s="1"/>
      <x:c r="L10" s="1"/>
    </x:row>
    <x:row r="11" ht="48" customHeight="1">
      <x:c r="A11" s="1"/>
      <x:c r="B11" s="15" t="str">
        <x:v>交付前の契約・発注</x:v>
      </x:c>
      <x:c r="C11" s="15" t="str"/>
      <x:c r="D11" s="15" t="str"/>
      <x:c r="E11" s="15" t="str"/>
      <x:c r="F11" s="1"/>
      <x:c r="G11" s="1"/>
      <x:c r="H11" s="1"/>
      <x:c r="I11" s="1"/>
      <x:c r="J11" s="1"/>
      <x:c r="K11" s="1"/>
      <x:c r="L11" s="1"/>
    </x:row>
    <x:row r="12" ht="48" customHeight="1">
      <x:c r="A12" s="1"/>
      <x:c r="B12" s="15" t="str">
        <x:v>併用可否</x:v>
      </x:c>
      <x:c r="C12" s="15" t="str"/>
      <x:c r="D12" s="15" t="str"/>
      <x:c r="E12" s="15" t="str"/>
      <x:c r="F12" s="1"/>
      <x:c r="G12" s="1"/>
      <x:c r="H12" s="1"/>
      <x:c r="I12" s="1"/>
      <x:c r="J12" s="1"/>
      <x:c r="K12" s="1"/>
      <x:c r="L12" s="1"/>
    </x:row>
    <x:row r="13" ht="48" customHeight="1">
      <x:c r="A13" s="1"/>
      <x:c r="B13" s="15" t="str">
        <x:v>自家消費等の要件</x:v>
      </x:c>
      <x:c r="C13" s="15" t="str"/>
      <x:c r="D13" s="15" t="str"/>
      <x:c r="E13" s="15" t="str"/>
      <x:c r="F13" s="1"/>
      <x:c r="G13" s="1"/>
      <x:c r="H13" s="1"/>
      <x:c r="I13" s="1"/>
      <x:c r="J13" s="1"/>
      <x:c r="K13" s="1"/>
      <x:c r="L13" s="1"/>
    </x:row>
    <x:row r="14" ht="48" customHeight="1">
      <x:c r="A14" s="1"/>
      <x:c r="B14" s="15" t="str">
        <x:v>完了・実績報告期限</x:v>
      </x:c>
      <x:c r="C14" s="15" t="str"/>
      <x:c r="D14" s="15" t="str"/>
      <x:c r="E14" s="15" t="str"/>
      <x:c r="F14" s="1"/>
      <x:c r="G14" s="1"/>
      <x:c r="H14" s="1"/>
      <x:c r="I14" s="1"/>
      <x:c r="J14" s="1"/>
      <x:c r="K14" s="1"/>
      <x:c r="L14" s="1"/>
    </x:row>
    <x:row r="15" ht="48" customHeight="1">
      <x:c r="A15" s="1"/>
      <x:c r="B15" s="15" t="str">
        <x:v>交付決定・入金時期</x:v>
      </x:c>
      <x:c r="C15" s="15" t="str"/>
      <x:c r="D15" s="15" t="str"/>
      <x:c r="E15" s="15" t="str"/>
      <x:c r="F15" s="1"/>
      <x:c r="G15" s="1"/>
      <x:c r="H15" s="1"/>
      <x:c r="I15" s="1"/>
      <x:c r="J15" s="1"/>
      <x:c r="K15" s="1"/>
      <x:c r="L15" s="1"/>
    </x:row>
    <x:row r="16" ht="48" customHeight="1">
      <x:c r="A16" s="1"/>
      <x:c r="B16" s="15" t="str">
        <x:v>財産処分制限</x:v>
      </x:c>
      <x:c r="C16" s="15" t="str"/>
      <x:c r="D16" s="15" t="str"/>
      <x:c r="E16" s="15" t="str"/>
      <x:c r="F16" s="1"/>
      <x:c r="G16" s="1"/>
      <x:c r="H16" s="1"/>
      <x:c r="I16" s="1"/>
      <x:c r="J16" s="1"/>
      <x:c r="K16" s="1"/>
      <x:c r="L16" s="1"/>
    </x:row>
    <x:row r="17" ht="48" customHeight="1">
      <x:c r="A17" s="1"/>
      <x:c r="B17" s="15" t="str">
        <x:v>補助金ゼロ案</x:v>
      </x:c>
      <x:c r="C17" s="15" t="str"/>
      <x:c r="D17" s="15" t="str"/>
      <x:c r="E17" s="15" t="str"/>
      <x:c r="F17" s="1"/>
      <x:c r="G17" s="1"/>
      <x:c r="H17" s="1"/>
      <x:c r="I17" s="1"/>
      <x:c r="J17" s="1"/>
      <x:c r="K17" s="1"/>
      <x:c r="L17" s="1"/>
    </x:row>
    <x:row r="18" ht="48" customHeight="1">
      <x:c r="A18" s="1"/>
      <x:c r="B18" s="15" t="str">
        <x:v>国の制度入口</x:v>
      </x:c>
      <x:c r="C18" s="15" t="str">
        <x:v>環境省</x:v>
      </x:c>
      <x:c r="D18" s="15" t="str">
        <x:v>https://www.env.go.jp/earth/ondanka/biz_local.html</x:v>
      </x:c>
      <x:c r="E18" s="15" t="str"/>
      <x:c r="F18" s="1"/>
      <x:c r="G18" s="1"/>
      <x:c r="H18" s="1"/>
      <x:c r="I18" s="1"/>
      <x:c r="J18" s="1"/>
      <x:c r="K18" s="1"/>
      <x:c r="L18" s="1"/>
    </x:row>
    <x:row r="19" ht="48" customHeight="1">
      <x:c r="A19" s="1"/>
      <x:c r="B19" s="15" t="str">
        <x:v>省エネ支援入口</x:v>
      </x:c>
      <x:c r="C19" s="15" t="str">
        <x:v>SII</x:v>
      </x:c>
      <x:c r="D19" s="15" t="str">
        <x:v>https://sii.or.jp/</x:v>
      </x:c>
      <x:c r="E19" s="15" t="str"/>
      <x:c r="F19" s="1"/>
      <x:c r="G19" s="1"/>
      <x:c r="H19" s="1"/>
      <x:c r="I19" s="1"/>
      <x:c r="J19" s="1"/>
      <x:c r="K19" s="1"/>
      <x:c r="L19" s="1"/>
    </x:row>
    <x:row r="20" ht="24" customHeight="1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</x:row>
    <x:row r="21" ht="24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</x:row>
    <x:row r="22" ht="24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</x:row>
    <x:row r="23" ht="24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</x:row>
    <x:row r="25" ht="24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</x:row>
    <x:row r="26" ht="24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</x:row>
    <x:row r="27" ht="24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</x:row>
    <x:row r="28" ht="24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</x:row>
    <x:row r="29" ht="24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</x:row>
    <x:row r="30" ht="24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</x:row>
    <x:row r="31" ht="24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</x:row>
    <x:row r="32" ht="24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</x:row>
    <x:row r="33" ht="24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</x:row>
    <x:row r="34" ht="24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</x:row>
    <x:row r="35" ht="24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</x:row>
    <x:row r="36" ht="24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</x:row>
    <x:row r="37" ht="24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</x:row>
    <x:row r="38" ht="24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</x:row>
    <x:row r="39" ht="24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</x:row>
    <x:row r="40" ht="24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</x:row>
    <x:row r="41" ht="24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</x:row>
    <x:row r="42" ht="24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</x:row>
    <x:row r="43" ht="24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</x:row>
    <x:row r="44" ht="24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</x:row>
    <x:row r="45" ht="24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</x:row>
    <x:row r="46" ht="24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</x:row>
    <x:row r="47" ht="24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</x:row>
    <x:row r="48" ht="24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</x:row>
    <x:row r="49" ht="24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</x:row>
    <x:row r="50" ht="24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</x:row>
    <x:row r="51" ht="24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</x:row>
    <x:row r="52" ht="24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</x:row>
    <x:row r="53" ht="24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</x:row>
    <x:row r="54" ht="24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</x:row>
    <x:row r="55" ht="24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</x:row>
    <x:row r="56" ht="24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</x:row>
    <x:row r="57" ht="24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</x:row>
    <x:row r="58" ht="24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</x:row>
    <x:row r="59" ht="24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</x:row>
    <x:row r="60" ht="24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</x:row>
    <x:row r="61" ht="24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</x:row>
    <x:row r="62" ht="24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</x:row>
    <x:row r="63" ht="24" customHeight="1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</x:row>
    <x:row r="64" ht="24" customHeight="1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</x:row>
    <x:row r="65" ht="24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</x:row>
    <x:row r="66" ht="24" customHeight="1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</x:row>
    <x:row r="67" ht="24" customHeight="1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</x:row>
    <x:row r="68" ht="24" customHeight="1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</x:row>
    <x:row r="69" ht="24" customHeight="1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</x:row>
    <x:row r="70" ht="24" customHeight="1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" hidden="0" customWidth="1"/>
    <x:col min="2" max="2" width="26" hidden="0" customWidth="1"/>
    <x:col min="3" max="3" width="52" hidden="0" customWidth="1"/>
    <x:col min="4" max="4" width="22" hidden="0" customWidth="1"/>
    <x:col min="5" max="5" width="18" hidden="0" customWidth="1"/>
    <x:col min="6" max="6" width="20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 ht="24" customHeight="1">
      <x:c r="A2" s="1"/>
      <x:c r="B2" s="2" t="str">
        <x:v>役員会議・稟議の整理</x:v>
      </x:c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 ht="24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 ht="24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</x:row>
    <x:row r="5" ht="30" customHeight="1">
      <x:c r="A5" s="1"/>
      <x:c r="B5" s="4" t="str">
        <x:v>項目</x:v>
      </x:c>
      <x:c r="C5" s="4" t="str">
        <x:v>記入・添付する内容</x:v>
      </x:c>
      <x:c r="D5" s="4" t="str">
        <x:v>担当</x:v>
      </x:c>
      <x:c r="E5" s="4" t="str">
        <x:v>期限</x:v>
      </x:c>
      <x:c r="F5" s="4" t="str">
        <x:v>状態</x:v>
      </x:c>
      <x:c r="G5" s="1"/>
      <x:c r="H5" s="1"/>
      <x:c r="I5" s="1"/>
      <x:c r="J5" s="1"/>
      <x:c r="K5" s="1"/>
      <x:c r="L5" s="1"/>
    </x:row>
    <x:row r="6" ht="48" customHeight="1">
      <x:c r="A6" s="1"/>
      <x:c r="B6" s="15" t="str">
        <x:v>今回の承認範囲</x:v>
      </x:c>
      <x:c r="C6" s="15" t="str">
        <x:v>調査・見積取得・契約確定・発注を区別</x:v>
      </x:c>
      <x:c r="D6" s="15" t="str"/>
      <x:c r="E6" s="15" t="str"/>
      <x:c r="F6" s="15" t="str">
        <x:v>未確認</x:v>
      </x:c>
      <x:c r="G6" s="1"/>
      <x:c r="H6" s="1"/>
      <x:c r="I6" s="1"/>
      <x:c r="J6" s="1"/>
      <x:c r="K6" s="1"/>
      <x:c r="L6" s="1"/>
    </x:row>
    <x:row r="7" ht="48" customHeight="1">
      <x:c r="A7" s="1"/>
      <x:c r="B7" s="15" t="str">
        <x:v>目的と現状</x:v>
      </x:c>
      <x:c r="C7" s="15" t="str">
        <x:v>電力費・制約・更新時期</x:v>
      </x:c>
      <x:c r="D7" s="15" t="str"/>
      <x:c r="E7" s="15" t="str"/>
      <x:c r="F7" s="15" t="str">
        <x:v>未確認</x:v>
      </x:c>
      <x:c r="G7" s="1"/>
      <x:c r="H7" s="1"/>
      <x:c r="I7" s="1"/>
      <x:c r="J7" s="1"/>
      <x:c r="K7" s="1"/>
      <x:c r="L7" s="1"/>
    </x:row>
    <x:row r="8" ht="48" customHeight="1">
      <x:c r="A8" s="1"/>
      <x:c r="B8" s="15" t="str">
        <x:v>推奨と代替</x:v>
      </x:c>
      <x:c r="C8" s="15" t="str">
        <x:v>方式・採否の理由</x:v>
      </x:c>
      <x:c r="D8" s="15" t="str"/>
      <x:c r="E8" s="15" t="str"/>
      <x:c r="F8" s="15" t="str">
        <x:v>未確認</x:v>
      </x:c>
      <x:c r="G8" s="1"/>
      <x:c r="H8" s="1"/>
      <x:c r="I8" s="1"/>
      <x:c r="J8" s="1"/>
      <x:c r="K8" s="1"/>
      <x:c r="L8" s="1"/>
    </x:row>
    <x:row r="9" ht="48" customHeight="1">
      <x:c r="A9" s="1"/>
      <x:c r="B9" s="15" t="str">
        <x:v>比較結果</x:v>
      </x:c>
      <x:c r="C9" s="15" t="str">
        <x:v>入力条件・年次CF・NPV</x:v>
      </x:c>
      <x:c r="D9" s="15" t="str"/>
      <x:c r="E9" s="15" t="str"/>
      <x:c r="F9" s="15" t="str">
        <x:v>未確認</x:v>
      </x:c>
      <x:c r="G9" s="1"/>
      <x:c r="H9" s="1"/>
      <x:c r="I9" s="1"/>
      <x:c r="J9" s="1"/>
      <x:c r="K9" s="1"/>
      <x:c r="L9" s="1"/>
    </x:row>
    <x:row r="10" ht="48" customHeight="1">
      <x:c r="A10" s="1"/>
      <x:c r="B10" s="15" t="str">
        <x:v>下振れ</x:v>
      </x:c>
      <x:c r="C10" s="15" t="str">
        <x:v>単価低下・需要減・補助金なし</x:v>
      </x:c>
      <x:c r="D10" s="15" t="str"/>
      <x:c r="E10" s="15" t="str"/>
      <x:c r="F10" s="15" t="str">
        <x:v>未確認</x:v>
      </x:c>
      <x:c r="G10" s="1"/>
      <x:c r="H10" s="1"/>
      <x:c r="I10" s="1"/>
      <x:c r="J10" s="1"/>
      <x:c r="K10" s="1"/>
      <x:c r="L10" s="1"/>
    </x:row>
    <x:row r="11" ht="48" customHeight="1">
      <x:c r="A11" s="1"/>
      <x:c r="B11" s="15" t="str">
        <x:v>設備適合</x:v>
      </x:c>
      <x:c r="C11" s="15" t="str">
        <x:v>屋根・受電・保安・施工休業</x:v>
      </x:c>
      <x:c r="D11" s="15" t="str"/>
      <x:c r="E11" s="15" t="str"/>
      <x:c r="F11" s="15" t="str">
        <x:v>未確認</x:v>
      </x:c>
      <x:c r="G11" s="1"/>
      <x:c r="H11" s="1"/>
      <x:c r="I11" s="1"/>
      <x:c r="J11" s="1"/>
      <x:c r="K11" s="1"/>
      <x:c r="L11" s="1"/>
    </x:row>
    <x:row r="12" ht="48" customHeight="1">
      <x:c r="A12" s="1"/>
      <x:c r="B12" s="15" t="str">
        <x:v>契約</x:v>
      </x:c>
      <x:c r="C12" s="15" t="str">
        <x:v>期間・改定・解約・満了・責任</x:v>
      </x:c>
      <x:c r="D12" s="15" t="str"/>
      <x:c r="E12" s="15" t="str"/>
      <x:c r="F12" s="15" t="str">
        <x:v>未確認</x:v>
      </x:c>
      <x:c r="G12" s="1"/>
      <x:c r="H12" s="1"/>
      <x:c r="I12" s="1"/>
      <x:c r="J12" s="1"/>
      <x:c r="K12" s="1"/>
      <x:c r="L12" s="1"/>
    </x:row>
    <x:row r="13" ht="48" customHeight="1">
      <x:c r="A13" s="1"/>
      <x:c r="B13" s="15" t="str">
        <x:v>予算と資金</x:v>
      </x:c>
      <x:c r="C13" s="15" t="str">
        <x:v>投資・入金・税務会計</x:v>
      </x:c>
      <x:c r="D13" s="15" t="str"/>
      <x:c r="E13" s="15" t="str"/>
      <x:c r="F13" s="15" t="str">
        <x:v>未確認</x:v>
      </x:c>
      <x:c r="G13" s="1"/>
      <x:c r="H13" s="1"/>
      <x:c r="I13" s="1"/>
      <x:c r="J13" s="1"/>
      <x:c r="K13" s="1"/>
      <x:c r="L13" s="1"/>
    </x:row>
    <x:row r="14" ht="48" customHeight="1">
      <x:c r="A14" s="1"/>
      <x:c r="B14" s="15" t="str">
        <x:v>環境価値</x:v>
      </x:c>
      <x:c r="C14" s="15" t="str">
        <x:v>属性・帰属・報告方法</x:v>
      </x:c>
      <x:c r="D14" s="15" t="str"/>
      <x:c r="E14" s="15" t="str"/>
      <x:c r="F14" s="15" t="str">
        <x:v>未確認</x:v>
      </x:c>
      <x:c r="G14" s="1"/>
      <x:c r="H14" s="1"/>
      <x:c r="I14" s="1"/>
      <x:c r="J14" s="1"/>
      <x:c r="K14" s="1"/>
      <x:c r="L14" s="1"/>
    </x:row>
    <x:row r="15" ht="48" customHeight="1">
      <x:c r="A15" s="1"/>
      <x:c r="B15" s="15" t="str">
        <x:v>BCP</x:v>
      </x:c>
      <x:c r="C15" s="15" t="str">
        <x:v>守る負荷・継続時間・訓練</x:v>
      </x:c>
      <x:c r="D15" s="15" t="str"/>
      <x:c r="E15" s="15" t="str"/>
      <x:c r="F15" s="15" t="str">
        <x:v>未確認</x:v>
      </x:c>
      <x:c r="G15" s="1"/>
      <x:c r="H15" s="1"/>
      <x:c r="I15" s="1"/>
      <x:c r="J15" s="1"/>
      <x:c r="K15" s="1"/>
      <x:c r="L15" s="1"/>
    </x:row>
    <x:row r="16" ht="48" customHeight="1">
      <x:c r="A16" s="1"/>
      <x:c r="B16" s="15" t="str">
        <x:v>見積・補助</x:v>
      </x:c>
      <x:c r="C16" s="15" t="str">
        <x:v>正式見積と現行要領</x:v>
      </x:c>
      <x:c r="D16" s="15" t="str"/>
      <x:c r="E16" s="15" t="str"/>
      <x:c r="F16" s="15" t="str">
        <x:v>未確認</x:v>
      </x:c>
      <x:c r="G16" s="1"/>
      <x:c r="H16" s="1"/>
      <x:c r="I16" s="1"/>
      <x:c r="J16" s="1"/>
      <x:c r="K16" s="1"/>
      <x:c r="L16" s="1"/>
    </x:row>
    <x:row r="17" ht="48" customHeight="1">
      <x:c r="A17" s="1"/>
      <x:c r="B17" s="15" t="str">
        <x:v>社内承認</x:v>
      </x:c>
      <x:c r="C17" s="15" t="str">
        <x:v>決裁権限と承認記録</x:v>
      </x:c>
      <x:c r="D17" s="15" t="str"/>
      <x:c r="E17" s="15" t="str"/>
      <x:c r="F17" s="15" t="str">
        <x:v>未確認</x:v>
      </x:c>
      <x:c r="G17" s="1"/>
      <x:c r="H17" s="1"/>
      <x:c r="I17" s="1"/>
      <x:c r="J17" s="1"/>
      <x:c r="K17" s="1"/>
      <x:c r="L17" s="1"/>
    </x:row>
    <x:row r="18" ht="48" customHeight="1">
      <x:c r="A18" s="1"/>
      <x:c r="B18" s="15" t="str">
        <x:v>運用と検証</x:v>
      </x:c>
      <x:c r="C18" s="15" t="str">
        <x:v>担当・実績比較・保守計画</x:v>
      </x:c>
      <x:c r="D18" s="15" t="str"/>
      <x:c r="E18" s="15" t="str"/>
      <x:c r="F18" s="15" t="str">
        <x:v>未確認</x:v>
      </x:c>
      <x:c r="G18" s="1"/>
      <x:c r="H18" s="1"/>
      <x:c r="I18" s="1"/>
      <x:c r="J18" s="1"/>
      <x:c r="K18" s="1"/>
      <x:c r="L18" s="1"/>
    </x:row>
    <x:row r="19" ht="24" customHeight="1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</x:row>
    <x:row r="20" ht="24" customHeight="1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</x:row>
    <x:row r="21" ht="24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</x:row>
    <x:row r="22" ht="24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</x:row>
    <x:row r="23" ht="24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</x:row>
    <x:row r="25" ht="24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</x:row>
    <x:row r="26" ht="24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</x:row>
    <x:row r="27" ht="24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</x:row>
    <x:row r="28" ht="24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</x:row>
    <x:row r="29" ht="24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</x:row>
    <x:row r="30" ht="24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</x:row>
    <x:row r="31" ht="24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</x:row>
    <x:row r="32" ht="24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</x:row>
    <x:row r="33" ht="24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</x:row>
    <x:row r="34" ht="24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</x:row>
    <x:row r="35" ht="24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</x:row>
    <x:row r="36" ht="24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</x:row>
    <x:row r="37" ht="24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</x:row>
    <x:row r="38" ht="24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</x:row>
    <x:row r="39" ht="24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</x:row>
    <x:row r="40" ht="24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</x:row>
    <x:row r="41" ht="24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</x:row>
    <x:row r="42" ht="24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</x:row>
    <x:row r="43" ht="24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</x:row>
    <x:row r="44" ht="24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</x:row>
    <x:row r="45" ht="24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</x:row>
    <x:row r="46" ht="24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</x:row>
    <x:row r="47" ht="24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</x:row>
    <x:row r="48" ht="24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</x:row>
    <x:row r="49" ht="24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</x:row>
    <x:row r="50" ht="24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</x:row>
    <x:row r="51" ht="24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</x:row>
    <x:row r="52" ht="24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</x:row>
    <x:row r="53" ht="24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</x:row>
    <x:row r="54" ht="24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</x:row>
    <x:row r="55" ht="24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</x:row>
    <x:row r="56" ht="24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</x:row>
    <x:row r="57" ht="24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</x:row>
    <x:row r="58" ht="24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</x:row>
    <x:row r="59" ht="24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</x:row>
    <x:row r="60" ht="24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</x:row>
    <x:row r="61" ht="24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</x:row>
    <x:row r="62" ht="24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</x:row>
    <x:row r="63" ht="24" customHeight="1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</x:row>
    <x:row r="64" ht="24" customHeight="1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</x:row>
    <x:row r="65" ht="24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</x:row>
    <x:row r="66" ht="24" customHeight="1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</x:row>
    <x:row r="67" ht="24" customHeight="1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</x:row>
    <x:row r="68" ht="24" customHeight="1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</x:row>
    <x:row r="69" ht="24" customHeight="1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</x:row>
    <x:row r="70" ht="24" customHeight="1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</x:row>
  </x:sheetData>
  <x:dataValidations count="1">
    <x:dataValidation type="list" sqref="F6:F18">
      <x:formula1>"未確認,確認中,確認済,対象外"</x:formula1>
    </x:dataValidation>
  </x:dataValidations>
  <x:pageMargins left="0.7" right="0.7" top="0.75" bottom="0.75" header="0.3" footer="0.3"/>
</x:worksheet>
</file>