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officeDocument" Target="/xl/workbook.xml" Id="R8d71f8fd56e741af" /><Relationship Type="http://schemas.openxmlformats.org/package/2006/relationships/metadata/core-properties" Target="/docProps/core.xml" Id="RcoreEnegaeru"/><Relationship Type="http://schemas.openxmlformats.org/officeDocument/2006/relationships/extended-properties" Target="/docProps/app.xml" Id="RappEnegaeru"/></Relationships>
</file>

<file path=xl/workbook.xml><?xml version="1.0" encoding="utf-8"?>
<x:workbook xmlns:x="http://schemas.openxmlformats.org/spreadsheetml/2006/main">
  <x:workbookProtection lockStructure="1" lockWindows="0"/>
  <x:sheets>
    <x:sheet xmlns:r="http://schemas.openxmlformats.org/officeDocument/2006/relationships" name="3分入力" sheetId="1" r:id="R71117382198b47f3"/>
    <x:sheet xmlns:r="http://schemas.openxmlformats.org/officeDocument/2006/relationships" name="結果サマリー" sheetId="2" r:id="Ra630d9ea58644a5d"/>
    <x:sheet xmlns:r="http://schemas.openxmlformats.org/officeDocument/2006/relationships" name="月別・20年" sheetId="3" r:id="R82eb63a5cf404d8a"/>
    <x:sheet xmlns:r="http://schemas.openxmlformats.org/officeDocument/2006/relationships" name="条件比較" sheetId="4" r:id="R9063f487d1f94ad1"/>
    <x:sheet xmlns:r="http://schemas.openxmlformats.org/officeDocument/2006/relationships" name="詳細設定" sheetId="5" r:id="R656ccc7ed3754aa9"/>
    <x:sheet xmlns:r="http://schemas.openxmlformats.org/officeDocument/2006/relationships" name="METPV-20入力" sheetId="6" r:id="R04739b54bf7942a9"/>
    <x:sheet xmlns:r="http://schemas.openxmlformats.org/officeDocument/2006/relationships" name="計算方法・出典" sheetId="7" r:id="R389855fc4420405c"/>
    <x:sheet xmlns:r="http://schemas.openxmlformats.org/officeDocument/2006/relationships" name="公開前QA" sheetId="8" r:id="R330a79ddc60349cf"/>
    <x:sheet xmlns:r="http://schemas.openxmlformats.org/officeDocument/2006/relationships" name="_地点データ" state="veryHidden" sheetId="9" r:id="R190b48f13bd042ab"/>
    <x:sheet xmlns:r="http://schemas.openxmlformats.org/officeDocument/2006/relationships" name="_計算月次" state="veryHidden" sheetId="10" r:id="Ra901343acb744aba"/>
    <x:sheet xmlns:r="http://schemas.openxmlformats.org/officeDocument/2006/relationships" name="_計算240" state="veryHidden" sheetId="11" r:id="Rc6aa50350dc7435b"/>
    <x:sheet xmlns:r="http://schemas.openxmlformats.org/officeDocument/2006/relationships" name="_計算年次" state="veryHidden" sheetId="12" r:id="R05a8933bb69e4b52"/>
    <x:sheet xmlns:r="http://schemas.openxmlformats.org/officeDocument/2006/relationships" name="_シナリオ月次" state="veryHidden" sheetId="13" r:id="R0ee36c97e2004a4d"/>
    <x:sheet xmlns:r="http://schemas.openxmlformats.org/officeDocument/2006/relationships" name="_シナリオ" state="veryHidden" sheetId="14" r:id="Rcf27f731d9d5485d"/>
    <x:sheet xmlns:r="http://schemas.openxmlformats.org/officeDocument/2006/relationships" name="_設定" state="veryHidden" sheetId="15" r:id="R5b9efa5ca3a24ac8"/>
  </x:sheets>
  <x:definedNames>
    <x:definedName name="PrefectureList">'_地点データ'!$A$5:$A$51</x:definedName>
    <x:definedName name="_xlnm.Print_Area" localSheetId="0">'3分入力'!$A$1:$L$31</x:definedName>
    <x:definedName name="_xlnm.Print_Area" localSheetId="1">'結果サマリー'!$A$1:$M$52</x:definedName>
    <x:definedName name="_xlnm.Print_Area" localSheetId="2">'月別・20年'!$A$1:$Q$29</x:definedName>
    <x:definedName name="_xlnm.Print_Area" localSheetId="3">'条件比較'!$A$1:$J$24</x:definedName>
    <x:definedName name="_xlnm.Print_Area" localSheetId="4">'詳細設定'!$A$1:$H$37</x:definedName>
    <x:definedName name="_xlnm.Print_Area" localSheetId="5">'METPV-20入力'!$A$1:$H$30</x:definedName>
    <x:definedName name="_xlnm.Print_Area" localSheetId="6">'計算方法・出典'!$A$1:$L$56</x:definedName>
    <x:definedName name="_xlnm.Print_Area" localSheetId="7">'公開前QA'!$A$1:$J$46</x:definedName>
  </x:definedNames>
  <x:calcPr calcId="191029" calcMode="auto" fullCalcOnLoad="1" forceFullCalc="1"/>
</x:workbook>
</file>

<file path=xl/sharedStrings.xml><?xml version="1.0" encoding="utf-8"?>
<x:sst xmlns:x="http://schemas.openxmlformats.org/spreadsheetml/2006/main"/>
</file>

<file path=xl/styles.xml><?xml version="1.0" encoding="utf-8"?>
<x:styleSheet xmlns:x="http://schemas.openxmlformats.org/spreadsheetml/2006/main">
  <x:numFmts count="20">
    <x:numFmt numFmtId="200" formatCode="0%"/>
    <x:numFmt numFmtId="201" formatCode="#,##0&quot; 円&quot;"/>
    <x:numFmt numFmtId="202" formatCode="0"/>
    <x:numFmt numFmtId="203" formatCode="0.000"/>
    <x:numFmt numFmtId="204" formatCode="0.00"/>
    <x:numFmt numFmtId="205" formatCode="#,##0.00"/>
    <x:numFmt numFmtId="206" formatCode="yyyy-mm-dd hh:mm:ss &quot;UTC&quot;"/>
    <x:numFmt numFmtId="207" formatCode="0.0&quot; kW&quot;"/>
    <x:numFmt numFmtId="208" formatCode="#,##0&quot; kWh/年&quot;"/>
    <x:numFmt numFmtId="209" formatCode="0.0&quot; 円/kWh&quot;"/>
    <x:numFmt numFmtId="210" formatCode="0&quot; 年&quot;"/>
    <x:numFmt numFmtId="211" formatCode="0.0%"/>
    <x:numFmt numFmtId="212" formatCode="0&quot; 年目&quot;"/>
    <x:numFmt numFmtId="213" formatCode="0.00&quot; %/℃&quot;"/>
    <x:numFmt numFmtId="214" formatCode="0.0&quot; ℃&quot;"/>
    <x:numFmt numFmtId="215" formatCode="0.0&quot; kW/m²&quot;"/>
    <x:numFmt numFmtId="216" formatCode="0.000000"/>
    <x:numFmt numFmtId="217" formatCode="0.0000"/>
    <x:numFmt numFmtId="218" formatCode="#,##0&quot; 円/年&quot;"/>
    <x:numFmt numFmtId="219" formatCode="#,##0&quot; kWh&quot;"/>
  </x:numFmts>
  <x:fonts count="27">
    <x:font>
      <x:sz val="11"/>
      <x:name val="Carlito"/>
    </x:font>
    <x:font>
      <x:sz val="10"/>
      <x:color rgb="FF203438"/>
      <x:name val="Meiryo"/>
    </x:font>
    <x:font>
      <x:b/>
      <x:sz val="20"/>
      <x:color rgb="FFFFFFFF"/>
      <x:name val="Meiryo"/>
    </x:font>
    <x:font>
      <x:sz val="10"/>
      <x:color rgb="FF00575A"/>
      <x:name val="Meiryo"/>
    </x:font>
    <x:font>
      <x:b/>
      <x:sz val="9"/>
      <x:color rgb="FFFFFFFF"/>
      <x:name val="Meiryo"/>
    </x:font>
    <x:font>
      <x:sz val="9"/>
      <x:color rgb="FF203438"/>
      <x:name val="Meiryo"/>
    </x:font>
    <x:font>
      <x:b/>
      <x:sz val="10"/>
      <x:color rgb="FF00575A"/>
      <x:name val="Meiryo"/>
    </x:font>
    <x:font>
      <x:b/>
      <x:sz val="10"/>
      <x:color rgb="FFFFFFFF"/>
      <x:name val="Meiryo"/>
    </x:font>
    <x:font>
      <x:b/>
      <x:sz val="9"/>
      <x:color rgb="FF5B6B6E"/>
      <x:name val="Meiryo"/>
    </x:font>
    <x:font>
      <x:b/>
      <x:sz val="11"/>
      <x:color rgb="FFFFFFFF"/>
      <x:name val="Meiryo"/>
    </x:font>
    <x:font>
      <x:b/>
      <x:sz val="9"/>
      <x:color rgb="FF00575A"/>
      <x:name val="Meiryo"/>
    </x:font>
    <x:font>
      <x:b/>
      <x:sz val="10"/>
      <x:color rgb="FF203438"/>
      <x:name val="Meiryo"/>
    </x:font>
    <x:font>
      <x:b/>
      <x:sz val="12"/>
      <x:color rgb="FF0B57D0"/>
      <x:name val="Meiryo"/>
    </x:font>
    <x:font>
      <x:sz val="9"/>
      <x:color rgb="FF5B6B6E"/>
      <x:name val="Meiryo"/>
    </x:font>
    <x:font>
      <x:b/>
      <x:sz val="14"/>
      <x:color rgb="FF17383D"/>
      <x:name val="Meiryo"/>
    </x:font>
    <x:font>
      <x:b/>
      <x:sz val="11"/>
      <x:color rgb="FF17383D"/>
      <x:name val="Meiryo"/>
    </x:font>
    <x:font>
      <x:b/>
      <x:sz val="9"/>
      <x:color rgb="FFB42318"/>
      <x:name val="Meiryo"/>
    </x:font>
    <x:font>
      <x:b/>
      <x:sz val="9"/>
      <x:color rgb="FF0B57D0"/>
      <x:name val="Meiryo"/>
    </x:font>
    <x:font>
      <x:sz val="10"/>
      <x:color rgb="FF0B57D0"/>
      <x:name val="Meiryo"/>
    </x:font>
    <x:font>
      <x:b/>
      <x:sz val="10"/>
      <x:color rgb="FF17383D"/>
      <x:name val="Meiryo"/>
    </x:font>
    <x:font>
      <x:b/>
      <x:sz val="9"/>
      <x:color rgb="FF17383D"/>
      <x:name val="Meiryo"/>
    </x:font>
    <x:font>
      <x:b/>
      <x:sz val="21"/>
      <x:color rgb="FF00575A"/>
      <x:name val="Meiryo"/>
    </x:font>
    <x:font>
      <x:b/>
      <x:sz val="21"/>
      <x:color rgb="FFFFFFFF"/>
      <x:name val="Meiryo"/>
    </x:font>
    <x:font>
      <x:b/>
      <x:sz val="21"/>
      <x:color rgb="FF203438"/>
      <x:name val="Meiryo"/>
    </x:font>
    <x:font>
      <x:b/>
      <x:sz val="18"/>
      <x:color rgb="FFFFFFFF"/>
      <x:name val="Meiryo"/>
    </x:font>
    <x:font>
      <x:sz val="8"/>
      <x:color rgb="FF0B57D0"/>
      <x:name val="Meiryo"/>
    </x:font>
    <x:font>
      <x:b/>
      <x:sz val="11"/>
      <x:color rgb="FF203438"/>
      <x:name val="Meiryo"/>
    </x:font>
  </x:fonts>
  <x:fills count="11">
    <x:fill>
      <x:patternFill patternType="none"/>
    </x:fill>
    <x:fill>
      <x:patternFill patternType="gray125"/>
    </x:fill>
    <x:fill>
      <x:patternFill patternType="solid">
        <x:fgColor rgb="FF17383D"/>
      </x:patternFill>
    </x:fill>
    <x:fill>
      <x:patternFill patternType="solid">
        <x:fgColor rgb="FFE8F5F3"/>
      </x:patternFill>
    </x:fill>
    <x:fill>
      <x:patternFill patternType="solid">
        <x:fgColor rgb="FF234A50"/>
      </x:patternFill>
    </x:fill>
    <x:fill>
      <x:patternFill patternType="solid">
        <x:fgColor rgb="FF006D70"/>
      </x:patternFill>
    </x:fill>
    <x:fill>
      <x:patternFill patternType="solid">
        <x:fgColor rgb="FFFFF4D6"/>
      </x:patternFill>
    </x:fill>
    <x:fill>
      <x:patternFill patternType="solid">
        <x:fgColor rgb="FFD6EFEC"/>
      </x:patternFill>
    </x:fill>
    <x:fill>
      <x:patternFill patternType="solid">
        <x:fgColor rgb="FFF4F7F7"/>
      </x:patternFill>
    </x:fill>
    <x:fill>
      <x:patternFill patternType="solid">
        <x:fgColor rgb="FFFFFFFF"/>
      </x:patternFill>
    </x:fill>
    <x:fill>
      <x:patternFill patternType="solid">
        <x:fgColor rgb="FFFEE4E2"/>
      </x:patternFill>
    </x:fill>
  </x:fills>
  <x:borders count="67">
    <x:border/>
    <x:border>
      <x:left style="thin">
        <x:color rgb="FFFFFFFF"/>
      </x:left>
      <x:right style="thin">
        <x:color rgb="FFFFFFFF"/>
      </x:right>
      <x:top style="thin">
        <x:color rgb="FFFFFFFF"/>
      </x:top>
      <x:bottom style="thin">
        <x:color rgb="FFFFFFFF"/>
      </x:bottom>
    </x:border>
    <x:border>
      <x:left style="thin">
        <x:color rgb="FFD9E2E3"/>
      </x:left>
      <x:right style="thin">
        <x:color rgb="FFD9E2E3"/>
      </x:right>
      <x:top style="thin">
        <x:color rgb="FFD9E2E3"/>
      </x:top>
      <x:bottom style="thin">
        <x:color rgb="FFD9E2E3"/>
      </x:bottom>
    </x:border>
    <x:border>
      <x:left style="thin">
        <x:color rgb="FFD9E2E3"/>
      </x:left>
      <x:top style="thin">
        <x:color rgb="FFD9E2E3"/>
      </x:top>
    </x:border>
    <x:border>
      <x:top style="thin">
        <x:color rgb="FFD9E2E3"/>
      </x:top>
    </x:border>
    <x:border>
      <x:right style="thin">
        <x:color rgb="FFD9E2E3"/>
      </x:right>
      <x:top style="thin">
        <x:color rgb="FFD9E2E3"/>
      </x:top>
    </x:border>
    <x:border>
      <x:left style="thin">
        <x:color rgb="FFD9E2E3"/>
      </x:left>
    </x:border>
    <x:border>
      <x:right style="thin">
        <x:color rgb="FFD9E2E3"/>
      </x:right>
    </x:border>
    <x:border>
      <x:left style="thin">
        <x:color rgb="FFD9E2E3"/>
      </x:left>
      <x:bottom style="thin">
        <x:color rgb="FFD9E2E3"/>
      </x:bottom>
    </x:border>
    <x:border>
      <x:bottom style="thin">
        <x:color rgb="FFD9E2E3"/>
      </x:bottom>
    </x:border>
    <x:border>
      <x:right style="thin">
        <x:color rgb="FFD9E2E3"/>
      </x:right>
      <x:bottom style="thin">
        <x:color rgb="FFD9E2E3"/>
      </x:bottom>
    </x:border>
    <x:border>
      <x:left style="thin">
        <x:color rgb="FF006D70"/>
      </x:left>
      <x:right style="thin">
        <x:color rgb="FF006D70"/>
      </x:right>
      <x:top style="thin">
        <x:color rgb="FF006D70"/>
      </x:top>
      <x:bottom style="thin">
        <x:color rgb="FF006D70"/>
      </x:bottom>
    </x:border>
    <x:border>
      <x:left style="thin">
        <x:color rgb="FFD9E2E3"/>
      </x:left>
      <x:top style="thin">
        <x:color rgb="FFD9E2E3"/>
      </x:top>
      <x:bottom style="thin">
        <x:color rgb="FFD9E2E3"/>
      </x:bottom>
    </x:border>
    <x:border>
      <x:top style="thin">
        <x:color rgb="FFD9E2E3"/>
      </x:top>
      <x:bottom style="thin">
        <x:color rgb="FFD9E2E3"/>
      </x:bottom>
    </x:border>
    <x:border>
      <x:right style="thin">
        <x:color rgb="FFD9E2E3"/>
      </x:right>
      <x:top style="thin">
        <x:color rgb="FFD9E2E3"/>
      </x:top>
      <x:bottom style="thin">
        <x:color rgb="FFD9E2E3"/>
      </x:bottom>
    </x:border>
    <x:border>
      <x:left style="medium">
        <x:color rgb="FF006D70"/>
      </x:left>
      <x:right style="medium">
        <x:color rgb="FF006D70"/>
      </x:right>
      <x:top style="medium">
        <x:color rgb="FF006D70"/>
      </x:top>
      <x:bottom style="medium">
        <x:color rgb="FF006D70"/>
      </x:bottom>
    </x:border>
    <x:border>
      <x:left style="medium">
        <x:color rgb="FF00575A"/>
      </x:left>
      <x:top style="medium">
        <x:color rgb="FF00575A"/>
      </x:top>
    </x:border>
    <x:border>
      <x:top style="medium">
        <x:color rgb="FF00575A"/>
      </x:top>
    </x:border>
    <x:border>
      <x:right style="medium">
        <x:color rgb="FF00575A"/>
      </x:right>
      <x:top style="medium">
        <x:color rgb="FF00575A"/>
      </x:top>
    </x:border>
    <x:border>
      <x:left style="medium">
        <x:color rgb="FF00575A"/>
      </x:left>
    </x:border>
    <x:border>
      <x:right style="medium">
        <x:color rgb="FF00575A"/>
      </x:right>
    </x:border>
    <x:border>
      <x:left style="medium">
        <x:color rgb="FF00575A"/>
      </x:left>
      <x:bottom style="medium">
        <x:color rgb="FF00575A"/>
      </x:bottom>
    </x:border>
    <x:border>
      <x:bottom style="medium">
        <x:color rgb="FF00575A"/>
      </x:bottom>
    </x:border>
    <x:border>
      <x:right style="medium">
        <x:color rgb="FF00575A"/>
      </x:right>
      <x:bottom style="medium">
        <x:color rgb="FF00575A"/>
      </x:bottom>
    </x:border>
    <x:border>
      <x:left style="medium">
        <x:color rgb="FF234A50"/>
      </x:left>
      <x:top style="medium">
        <x:color rgb="FF234A50"/>
      </x:top>
    </x:border>
    <x:border>
      <x:top style="medium">
        <x:color rgb="FF234A50"/>
      </x:top>
    </x:border>
    <x:border>
      <x:right style="medium">
        <x:color rgb="FF234A50"/>
      </x:right>
      <x:top style="medium">
        <x:color rgb="FF234A50"/>
      </x:top>
    </x:border>
    <x:border>
      <x:left style="medium">
        <x:color rgb="FF234A50"/>
      </x:left>
    </x:border>
    <x:border>
      <x:right style="medium">
        <x:color rgb="FF234A50"/>
      </x:right>
    </x:border>
    <x:border>
      <x:left style="medium">
        <x:color rgb="FF234A50"/>
      </x:left>
      <x:bottom style="medium">
        <x:color rgb="FF234A50"/>
      </x:bottom>
    </x:border>
    <x:border>
      <x:bottom style="medium">
        <x:color rgb="FF234A50"/>
      </x:bottom>
    </x:border>
    <x:border>
      <x:right style="medium">
        <x:color rgb="FF234A50"/>
      </x:right>
      <x:bottom style="medium">
        <x:color rgb="FF234A50"/>
      </x:bottom>
    </x:border>
    <x:border>
      <x:left style="thin">
        <x:color rgb="FFB42318"/>
      </x:left>
      <x:top style="thin">
        <x:color rgb="FFB42318"/>
      </x:top>
    </x:border>
    <x:border>
      <x:top style="thin">
        <x:color rgb="FFB42318"/>
      </x:top>
    </x:border>
    <x:border>
      <x:right style="thin">
        <x:color rgb="FFB42318"/>
      </x:right>
      <x:top style="thin">
        <x:color rgb="FFB42318"/>
      </x:top>
    </x:border>
    <x:border>
      <x:left style="thin">
        <x:color rgb="FFB42318"/>
      </x:left>
    </x:border>
    <x:border>
      <x:right style="thin">
        <x:color rgb="FFB42318"/>
      </x:right>
    </x:border>
    <x:border>
      <x:left style="thin">
        <x:color rgb="FFB42318"/>
      </x:left>
      <x:bottom style="thin">
        <x:color rgb="FFB42318"/>
      </x:bottom>
    </x:border>
    <x:border>
      <x:bottom style="thin">
        <x:color rgb="FFB42318"/>
      </x:bottom>
    </x:border>
    <x:border>
      <x:right style="thin">
        <x:color rgb="FFB42318"/>
      </x:right>
      <x:bottom style="thin">
        <x:color rgb="FFB42318"/>
      </x:bottom>
    </x:border>
    <x:border>
      <x:left style="thin">
        <x:color rgb="FF006D70"/>
      </x:left>
      <x:top style="thin">
        <x:color rgb="FF006D70"/>
      </x:top>
      <x:bottom style="thin">
        <x:color rgb="FF006D70"/>
      </x:bottom>
    </x:border>
    <x:border>
      <x:top style="thin">
        <x:color rgb="FF006D70"/>
      </x:top>
      <x:bottom style="thin">
        <x:color rgb="FF006D70"/>
      </x:bottom>
    </x:border>
    <x:border>
      <x:right style="thin">
        <x:color rgb="FF006D70"/>
      </x:right>
      <x:top style="thin">
        <x:color rgb="FF006D70"/>
      </x:top>
      <x:bottom style="thin">
        <x:color rgb="FF006D70"/>
      </x:bottom>
    </x:border>
    <x:border>
      <x:left style="thin">
        <x:color rgb="FFF4B740"/>
      </x:left>
      <x:right style="thin">
        <x:color rgb="FFF4B740"/>
      </x:right>
      <x:top style="thin">
        <x:color rgb="FFF4B740"/>
      </x:top>
      <x:bottom style="thin">
        <x:color rgb="FFF4B740"/>
      </x:bottom>
    </x:border>
    <x:border>
      <x:left style="medium">
        <x:color rgb="FF006D70"/>
      </x:left>
      <x:top style="medium">
        <x:color rgb="FF006D70"/>
      </x:top>
    </x:border>
    <x:border>
      <x:top style="medium">
        <x:color rgb="FF006D70"/>
      </x:top>
    </x:border>
    <x:border>
      <x:right style="medium">
        <x:color rgb="FF006D70"/>
      </x:right>
      <x:top style="medium">
        <x:color rgb="FF006D70"/>
      </x:top>
    </x:border>
    <x:border>
      <x:left style="medium">
        <x:color rgb="FF006D70"/>
      </x:left>
    </x:border>
    <x:border>
      <x:right style="medium">
        <x:color rgb="FF006D70"/>
      </x:right>
    </x:border>
    <x:border>
      <x:left style="medium">
        <x:color rgb="FF006D70"/>
      </x:left>
      <x:bottom style="medium">
        <x:color rgb="FF006D70"/>
      </x:bottom>
    </x:border>
    <x:border>
      <x:bottom style="medium">
        <x:color rgb="FF006D70"/>
      </x:bottom>
    </x:border>
    <x:border>
      <x:right style="medium">
        <x:color rgb="FF006D70"/>
      </x:right>
      <x:bottom style="medium">
        <x:color rgb="FF006D70"/>
      </x:bottom>
    </x:border>
    <x:border>
      <x:left style="medium">
        <x:color rgb="FFF4B740"/>
      </x:left>
      <x:top style="medium">
        <x:color rgb="FFF4B740"/>
      </x:top>
    </x:border>
    <x:border>
      <x:top style="medium">
        <x:color rgb="FFF4B740"/>
      </x:top>
    </x:border>
    <x:border>
      <x:right style="medium">
        <x:color rgb="FFF4B740"/>
      </x:right>
      <x:top style="medium">
        <x:color rgb="FFF4B740"/>
      </x:top>
    </x:border>
    <x:border>
      <x:left style="medium">
        <x:color rgb="FFF4B740"/>
      </x:left>
    </x:border>
    <x:border>
      <x:right style="medium">
        <x:color rgb="FFF4B740"/>
      </x:right>
    </x:border>
    <x:border>
      <x:left style="medium">
        <x:color rgb="FFF4B740"/>
      </x:left>
      <x:bottom style="medium">
        <x:color rgb="FFF4B740"/>
      </x:bottom>
    </x:border>
    <x:border>
      <x:bottom style="medium">
        <x:color rgb="FFF4B740"/>
      </x:bottom>
    </x:border>
    <x:border>
      <x:right style="medium">
        <x:color rgb="FFF4B740"/>
      </x:right>
      <x:bottom style="medium">
        <x:color rgb="FFF4B740"/>
      </x:bottom>
    </x:border>
    <x:border>
      <x:left style="medium">
        <x:color rgb="FF00575A"/>
      </x:left>
      <x:top style="medium">
        <x:color rgb="FF00575A"/>
      </x:top>
      <x:bottom style="medium">
        <x:color rgb="FF00575A"/>
      </x:bottom>
    </x:border>
    <x:border>
      <x:top style="medium">
        <x:color rgb="FF00575A"/>
      </x:top>
      <x:bottom style="medium">
        <x:color rgb="FF00575A"/>
      </x:bottom>
    </x:border>
    <x:border>
      <x:right style="medium">
        <x:color rgb="FF00575A"/>
      </x:right>
      <x:top style="medium">
        <x:color rgb="FF00575A"/>
      </x:top>
      <x:bottom style="medium">
        <x:color rgb="FF00575A"/>
      </x:bottom>
    </x:border>
    <x:border>
      <x:left style="medium">
        <x:color rgb="FF17383D"/>
      </x:left>
      <x:top style="medium">
        <x:color rgb="FF17383D"/>
      </x:top>
      <x:bottom style="medium">
        <x:color rgb="FF17383D"/>
      </x:bottom>
    </x:border>
    <x:border>
      <x:top style="medium">
        <x:color rgb="FF17383D"/>
      </x:top>
      <x:bottom style="medium">
        <x:color rgb="FF17383D"/>
      </x:bottom>
    </x:border>
    <x:border>
      <x:right style="medium">
        <x:color rgb="FF17383D"/>
      </x:right>
      <x:top style="medium">
        <x:color rgb="FF17383D"/>
      </x:top>
      <x:bottom style="medium">
        <x:color rgb="FF17383D"/>
      </x:bottom>
    </x:border>
    <x:border>
      <x:left style="thin">
        <x:color rgb="FF234A50"/>
      </x:left>
      <x:right style="thin">
        <x:color rgb="FF234A50"/>
      </x:right>
      <x:top style="thin">
        <x:color rgb="FF234A50"/>
      </x:top>
      <x:bottom style="thin">
        <x:color rgb="FF234A50"/>
      </x:bottom>
    </x:border>
  </x:borders>
  <x:cellStyleXfs count="1">
    <x:xf numFmtId="0" fontId="0" fillId="0" borderId="0"/>
  </x:cellStyleXfs>
  <x:cellXfs count="61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horizontal="lef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1" xfId="0" applyNumberFormat="1" applyFont="1" applyFill="1" applyBorder="1" applyAlignment="1">
      <x:alignment vertical="center"/>
    </x:xf>
    <x:xf numFmtId="0" fontId="4" fillId="4" borderId="1" xfId="0" applyNumberFormat="1" applyFont="1" applyFill="1" applyBorder="1" applyAlignment="1">
      <x:alignment vertical="center" wrapText="1"/>
    </x:xf>
    <x:xf numFmtId="0" fontId="4" fillId="4" borderId="1" xfId="0" applyNumberFormat="1" applyFont="1" applyFill="1" applyBorder="1" applyAlignment="1">
      <x:alignment horizontal="center" vertical="center" wrapText="1"/>
    </x:xf>
    <x:xf numFmtId="0" fontId="5" fillId="0" borderId="0" xfId="0" applyNumberFormat="1" applyFont="1" applyFill="1" applyBorder="1" applyAlignment="1">
      <x:alignment vertical="center"/>
    </x:xf>
    <x:xf numFmtId="0" fontId="5" fillId="0" borderId="2" xfId="0" applyNumberFormat="1" applyFont="1" applyFill="1" applyBorder="1" applyAlignment="1">
      <x:alignment vertical="center"/>
    </x:xf>
    <x:xf numFmtId="200" fontId="5" fillId="0" borderId="2" xfId="0" applyNumberFormat="1" applyFont="1" applyFill="1" applyBorder="1" applyAlignment="1">
      <x:alignment vertical="center"/>
    </x:xf>
    <x:xf numFmtId="0" fontId="6" fillId="3" borderId="0" xfId="0" applyNumberFormat="1" applyFont="1" applyFill="1" applyBorder="1" applyAlignment="1">
      <x:alignment vertical="center"/>
    </x:xf>
    <x:xf numFmtId="0" fontId="6" fillId="3" borderId="2" xfId="0" applyNumberFormat="1" applyFont="1" applyFill="1" applyBorder="1" applyAlignment="1">
      <x:alignment vertical="center"/>
    </x:xf>
    <x:xf numFmtId="200" fontId="6" fillId="3" borderId="2" xfId="0" applyNumberFormat="1" applyFont="1" applyFill="1" applyBorder="1" applyAlignment="1">
      <x:alignment vertical="center"/>
    </x:xf>
    <x:xf numFmtId="0" fontId="5" fillId="0" borderId="2"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7" fillId="5" borderId="0" xfId="0" applyNumberFormat="1" applyFont="1" applyFill="1" applyBorder="1" applyAlignment="1">
      <x:alignment vertical="center"/>
    </x:xf>
    <x:xf numFmtId="0" fontId="1" fillId="6" borderId="0" xfId="0" applyNumberFormat="1" applyFont="1" applyFill="1" applyBorder="1" applyAlignment="1">
      <x:alignment vertical="center"/>
    </x:xf>
    <x:xf numFmtId="0" fontId="8" fillId="6" borderId="0" xfId="0" applyNumberFormat="1" applyFont="1" applyFill="1" applyBorder="1" applyAlignment="1">
      <x:alignment vertical="center"/>
    </x:xf>
    <x:xf numFmtId="0" fontId="8" fillId="6" borderId="3" xfId="0" applyNumberFormat="1" applyFont="1" applyFill="1" applyBorder="1" applyAlignment="1">
      <x:alignment vertical="center"/>
    </x:xf>
    <x:xf numFmtId="0" fontId="8" fillId="6" borderId="4" xfId="0" applyNumberFormat="1" applyFont="1" applyFill="1" applyBorder="1" applyAlignment="1">
      <x:alignment vertical="center"/>
    </x:xf>
    <x:xf numFmtId="0" fontId="8" fillId="6" borderId="5" xfId="0" applyNumberFormat="1" applyFont="1" applyFill="1" applyBorder="1" applyAlignment="1">
      <x:alignment vertical="center"/>
    </x:xf>
    <x:xf numFmtId="0" fontId="8" fillId="6" borderId="6" xfId="0" applyNumberFormat="1" applyFont="1" applyFill="1" applyBorder="1" applyAlignment="1">
      <x:alignment vertical="center"/>
    </x:xf>
    <x:xf numFmtId="0" fontId="8" fillId="6" borderId="7" xfId="0" applyNumberFormat="1" applyFont="1" applyFill="1" applyBorder="1" applyAlignment="1">
      <x:alignment vertical="center"/>
    </x:xf>
    <x:xf numFmtId="0" fontId="8" fillId="6" borderId="8" xfId="0" applyNumberFormat="1" applyFont="1" applyFill="1" applyBorder="1" applyAlignment="1">
      <x:alignment vertical="center"/>
    </x:xf>
    <x:xf numFmtId="0" fontId="8" fillId="6" borderId="9" xfId="0" applyNumberFormat="1" applyFont="1" applyFill="1" applyBorder="1" applyAlignment="1">
      <x:alignment vertical="center"/>
    </x:xf>
    <x:xf numFmtId="0" fontId="8" fillId="6" borderId="10" xfId="0" applyNumberFormat="1" applyFont="1" applyFill="1" applyBorder="1" applyAlignment="1">
      <x:alignment vertical="center"/>
    </x:xf>
    <x:xf numFmtId="0" fontId="8" fillId="6" borderId="3" xfId="0" applyNumberFormat="1" applyFont="1" applyFill="1" applyBorder="1" applyAlignment="1">
      <x:alignment vertical="center" wrapText="1"/>
    </x:xf>
    <x:xf numFmtId="0" fontId="8" fillId="6" borderId="4" xfId="0" applyNumberFormat="1" applyFont="1" applyFill="1" applyBorder="1" applyAlignment="1">
      <x:alignment vertical="center" wrapText="1"/>
    </x:xf>
    <x:xf numFmtId="0" fontId="8" fillId="6" borderId="5" xfId="0" applyNumberFormat="1" applyFont="1" applyFill="1" applyBorder="1" applyAlignment="1">
      <x:alignment vertical="center" wrapText="1"/>
    </x:xf>
    <x:xf numFmtId="0" fontId="8" fillId="6" borderId="6" xfId="0" applyNumberFormat="1" applyFont="1" applyFill="1" applyBorder="1" applyAlignment="1">
      <x:alignment vertical="center" wrapText="1"/>
    </x:xf>
    <x:xf numFmtId="0" fontId="8" fillId="6" borderId="0" xfId="0" applyNumberFormat="1" applyFont="1" applyFill="1" applyBorder="1" applyAlignment="1">
      <x:alignment vertical="center" wrapText="1"/>
    </x:xf>
    <x:xf numFmtId="0" fontId="8" fillId="6" borderId="7" xfId="0" applyNumberFormat="1" applyFont="1" applyFill="1" applyBorder="1" applyAlignment="1">
      <x:alignment vertical="center" wrapText="1"/>
    </x:xf>
    <x:xf numFmtId="0" fontId="8" fillId="6" borderId="8" xfId="0" applyNumberFormat="1" applyFont="1" applyFill="1" applyBorder="1" applyAlignment="1">
      <x:alignment vertical="center" wrapText="1"/>
    </x:xf>
    <x:xf numFmtId="0" fontId="8" fillId="6" borderId="9" xfId="0" applyNumberFormat="1" applyFont="1" applyFill="1" applyBorder="1" applyAlignment="1">
      <x:alignment vertical="center" wrapText="1"/>
    </x:xf>
    <x:xf numFmtId="0" fontId="8" fillId="6" borderId="10" xfId="0" applyNumberFormat="1" applyFont="1" applyFill="1" applyBorder="1" applyAlignment="1">
      <x:alignment vertical="center" wrapText="1"/>
    </x:xf>
    <x:xf numFmtId="201" fontId="5" fillId="0" borderId="2" xfId="0" applyNumberFormat="1" applyFont="1" applyFill="1" applyBorder="1" applyAlignment="1">
      <x:alignment vertical="center"/>
    </x:xf>
    <x:xf numFmtId="0" fontId="9" fillId="4" borderId="0" xfId="0" applyNumberFormat="1" applyFont="1" applyFill="1" applyBorder="1" applyAlignment="1">
      <x:alignment vertical="center"/>
    </x:xf>
    <x:xf numFmtId="0" fontId="5" fillId="7" borderId="2" xfId="0" applyNumberFormat="1" applyFont="1" applyFill="1" applyBorder="1" applyAlignment="1">
      <x:alignment vertical="center"/>
    </x:xf>
    <x:xf numFmtId="0" fontId="10" fillId="7" borderId="2" xfId="0" applyNumberFormat="1" applyFont="1" applyFill="1" applyBorder="1" applyAlignment="1">
      <x:alignment vertical="center"/>
    </x:xf>
    <x:xf numFmtId="0" fontId="10" fillId="7" borderId="11" xfId="0" applyNumberFormat="1" applyFont="1" applyFill="1" applyBorder="1" applyAlignment="1">
      <x:alignment vertical="center"/>
    </x:xf>
    <x:xf numFmtId="202" fontId="10" fillId="7" borderId="11" xfId="0" applyNumberFormat="1" applyFont="1" applyFill="1" applyBorder="1" applyAlignment="1">
      <x:alignment vertical="center"/>
    </x:xf>
    <x:xf numFmtId="0" fontId="9" fillId="5" borderId="0" xfId="0" applyNumberFormat="1" applyFont="1" applyFill="1" applyBorder="1" applyAlignment="1">
      <x:alignment vertical="center"/>
    </x:xf>
    <x:xf numFmtId="0" fontId="8" fillId="6" borderId="12" xfId="0" applyNumberFormat="1" applyFont="1" applyFill="1" applyBorder="1" applyAlignment="1">
      <x:alignment vertical="center"/>
    </x:xf>
    <x:xf numFmtId="0" fontId="8" fillId="6" borderId="13" xfId="0" applyNumberFormat="1" applyFont="1" applyFill="1" applyBorder="1" applyAlignment="1">
      <x:alignment vertical="center"/>
    </x:xf>
    <x:xf numFmtId="0" fontId="8" fillId="6" borderId="14" xfId="0" applyNumberFormat="1" applyFont="1" applyFill="1" applyBorder="1" applyAlignment="1">
      <x:alignment vertical="center"/>
    </x:xf>
    <x:xf numFmtId="0" fontId="8" fillId="6" borderId="12" xfId="0" applyNumberFormat="1" applyFont="1" applyFill="1" applyBorder="1" applyAlignment="1">
      <x:alignment vertical="center" wrapText="1"/>
    </x:xf>
    <x:xf numFmtId="0" fontId="8" fillId="6" borderId="13" xfId="0" applyNumberFormat="1" applyFont="1" applyFill="1" applyBorder="1" applyAlignment="1">
      <x:alignment vertical="center" wrapText="1"/>
    </x:xf>
    <x:xf numFmtId="0" fontId="8" fillId="6" borderId="14" xfId="0" applyNumberFormat="1" applyFont="1" applyFill="1" applyBorder="1" applyAlignment="1">
      <x:alignment vertical="center" wrapText="1"/>
    </x:xf>
    <x:xf numFmtId="203" fontId="5" fillId="0" borderId="2" xfId="0" applyNumberFormat="1" applyFont="1" applyFill="1" applyBorder="1" applyAlignment="1">
      <x:alignment vertical="center"/>
    </x:xf>
    <x:xf numFmtId="202" fontId="5" fillId="0" borderId="2" xfId="0" applyNumberFormat="1" applyFont="1" applyFill="1" applyBorder="1" applyAlignment="1">
      <x:alignment vertical="center"/>
    </x:xf>
    <x:xf numFmtId="204" fontId="5" fillId="0" borderId="2" xfId="0" applyNumberFormat="1" applyFont="1" applyFill="1" applyBorder="1" applyAlignment="1">
      <x:alignment vertical="center"/>
    </x:xf>
    <x:xf numFmtId="205" fontId="5" fillId="0" borderId="2" xfId="0" applyNumberFormat="1" applyFont="1" applyFill="1" applyBorder="1" applyAlignment="1">
      <x:alignment vertical="center"/>
    </x:xf>
    <x:xf numFmtId="206" fontId="5" fillId="0" borderId="2" xfId="0" applyNumberFormat="1" applyFont="1" applyFill="1" applyBorder="1" applyAlignment="1">
      <x:alignment vertical="center"/>
    </x:xf>
    <x:xf numFmtId="0" fontId="1" fillId="8" borderId="0" xfId="0" applyNumberFormat="1" applyFont="1" applyFill="1" applyBorder="1" applyAlignment="1">
      <x:alignment vertical="center"/>
    </x:xf>
    <x:xf numFmtId="0" fontId="11" fillId="8" borderId="0" xfId="0" applyNumberFormat="1" applyFont="1" applyFill="1" applyBorder="1" applyAlignment="1">
      <x:alignment vertical="center"/>
    </x:xf>
    <x:xf numFmtId="0" fontId="11" fillId="8" borderId="2" xfId="0" applyNumberFormat="1" applyFont="1" applyFill="1" applyBorder="1" applyAlignment="1">
      <x:alignment vertical="center"/>
    </x:xf>
    <x:xf numFmtId="0" fontId="1" fillId="9" borderId="0" xfId="0" applyNumberFormat="1" applyFont="1" applyFill="1" applyBorder="1" applyAlignment="1">
      <x:alignment vertical="center"/>
    </x:xf>
    <x:xf numFmtId="0" fontId="12" fillId="9" borderId="0" xfId="0" applyNumberFormat="1" applyFont="1" applyFill="1" applyBorder="1" applyAlignment="1">
      <x:alignment vertical="center"/>
    </x:xf>
    <x:xf numFmtId="0" fontId="12" fillId="9" borderId="15" xfId="0" applyNumberFormat="1" applyFont="1" applyFill="1" applyBorder="1" applyAlignment="1">
      <x:alignment vertical="center"/>
    </x:xf>
    <x:xf numFmtId="0" fontId="12" fillId="9" borderId="15" xfId="0" applyNumberFormat="1" applyFont="1" applyFill="1" applyBorder="1" applyAlignment="1">
      <x:alignment horizontal="left" vertical="center"/>
    </x:xf>
    <x:xf numFmtId="207" fontId="12" fillId="9" borderId="15" xfId="0" applyNumberFormat="1" applyFont="1" applyFill="1" applyBorder="1" applyAlignment="1">
      <x:alignment horizontal="left" vertical="center"/>
    </x:xf>
    <x:xf numFmtId="208" fontId="12" fillId="9" borderId="15" xfId="0" applyNumberFormat="1" applyFont="1" applyFill="1" applyBorder="1" applyAlignment="1">
      <x:alignment horizontal="left" vertical="center"/>
    </x:xf>
    <x:xf numFmtId="201" fontId="12" fillId="9" borderId="15" xfId="0" applyNumberFormat="1" applyFont="1" applyFill="1" applyBorder="1" applyAlignment="1">
      <x:alignment horizontal="left" vertical="center"/>
    </x:xf>
    <x:xf numFmtId="0" fontId="13" fillId="8" borderId="0" xfId="0" applyNumberFormat="1" applyFont="1" applyFill="1" applyBorder="1" applyAlignment="1">
      <x:alignment vertical="center"/>
    </x:xf>
    <x:xf numFmtId="0" fontId="13" fillId="8" borderId="3" xfId="0" applyNumberFormat="1" applyFont="1" applyFill="1" applyBorder="1" applyAlignment="1">
      <x:alignment vertical="center"/>
    </x:xf>
    <x:xf numFmtId="0" fontId="13" fillId="8" borderId="4" xfId="0" applyNumberFormat="1" applyFont="1" applyFill="1" applyBorder="1" applyAlignment="1">
      <x:alignment vertical="center"/>
    </x:xf>
    <x:xf numFmtId="0" fontId="13" fillId="8" borderId="5" xfId="0" applyNumberFormat="1" applyFont="1" applyFill="1" applyBorder="1" applyAlignment="1">
      <x:alignment vertical="center"/>
    </x:xf>
    <x:xf numFmtId="0" fontId="13" fillId="8" borderId="6" xfId="0" applyNumberFormat="1" applyFont="1" applyFill="1" applyBorder="1" applyAlignment="1">
      <x:alignment vertical="center"/>
    </x:xf>
    <x:xf numFmtId="0" fontId="13" fillId="8" borderId="7" xfId="0" applyNumberFormat="1" applyFont="1" applyFill="1" applyBorder="1" applyAlignment="1">
      <x:alignment vertical="center"/>
    </x:xf>
    <x:xf numFmtId="0" fontId="13" fillId="8" borderId="8" xfId="0" applyNumberFormat="1" applyFont="1" applyFill="1" applyBorder="1" applyAlignment="1">
      <x:alignment vertical="center"/>
    </x:xf>
    <x:xf numFmtId="0" fontId="13" fillId="8" borderId="9" xfId="0" applyNumberFormat="1" applyFont="1" applyFill="1" applyBorder="1" applyAlignment="1">
      <x:alignment vertical="center"/>
    </x:xf>
    <x:xf numFmtId="0" fontId="13" fillId="8" borderId="10" xfId="0" applyNumberFormat="1" applyFont="1" applyFill="1" applyBorder="1" applyAlignment="1">
      <x:alignment vertical="center"/>
    </x:xf>
    <x:xf numFmtId="0" fontId="13" fillId="8" borderId="3" xfId="0" applyNumberFormat="1" applyFont="1" applyFill="1" applyBorder="1" applyAlignment="1">
      <x:alignment vertical="center" wrapText="1"/>
    </x:xf>
    <x:xf numFmtId="0" fontId="13" fillId="8" borderId="4" xfId="0" applyNumberFormat="1" applyFont="1" applyFill="1" applyBorder="1" applyAlignment="1">
      <x:alignment vertical="center" wrapText="1"/>
    </x:xf>
    <x:xf numFmtId="0" fontId="13" fillId="8" borderId="5" xfId="0" applyNumberFormat="1" applyFont="1" applyFill="1" applyBorder="1" applyAlignment="1">
      <x:alignment vertical="center" wrapText="1"/>
    </x:xf>
    <x:xf numFmtId="0" fontId="13" fillId="8" borderId="6" xfId="0" applyNumberFormat="1" applyFont="1" applyFill="1" applyBorder="1" applyAlignment="1">
      <x:alignment vertical="center" wrapText="1"/>
    </x:xf>
    <x:xf numFmtId="0" fontId="13" fillId="8" borderId="0" xfId="0" applyNumberFormat="1" applyFont="1" applyFill="1" applyBorder="1" applyAlignment="1">
      <x:alignment vertical="center" wrapText="1"/>
    </x:xf>
    <x:xf numFmtId="0" fontId="13" fillId="8" borderId="7" xfId="0" applyNumberFormat="1" applyFont="1" applyFill="1" applyBorder="1" applyAlignment="1">
      <x:alignment vertical="center" wrapText="1"/>
    </x:xf>
    <x:xf numFmtId="0" fontId="13" fillId="8" borderId="8" xfId="0" applyNumberFormat="1" applyFont="1" applyFill="1" applyBorder="1" applyAlignment="1">
      <x:alignment vertical="center" wrapText="1"/>
    </x:xf>
    <x:xf numFmtId="0" fontId="13" fillId="8" borderId="9" xfId="0" applyNumberFormat="1" applyFont="1" applyFill="1" applyBorder="1" applyAlignment="1">
      <x:alignment vertical="center" wrapText="1"/>
    </x:xf>
    <x:xf numFmtId="0" fontId="13" fillId="8" borderId="10" xfId="0" applyNumberFormat="1" applyFont="1" applyFill="1" applyBorder="1" applyAlignment="1">
      <x:alignment vertical="center" wrapText="1"/>
    </x:xf>
    <x:xf numFmtId="0" fontId="11" fillId="0" borderId="0" xfId="0" applyNumberFormat="1" applyFont="1" applyFill="1" applyBorder="1" applyAlignment="1">
      <x:alignment vertical="center"/>
    </x:xf>
    <x:xf numFmtId="0" fontId="6" fillId="3" borderId="2" xfId="0" applyNumberFormat="1" applyFont="1" applyFill="1" applyBorder="1" applyAlignment="1">
      <x:alignment vertical="center" wrapText="1"/>
    </x:xf>
    <x:xf numFmtId="0" fontId="1" fillId="7" borderId="0" xfId="0" applyNumberFormat="1" applyFont="1" applyFill="1" applyBorder="1" applyAlignment="1">
      <x:alignment vertical="center"/>
    </x:xf>
    <x:xf numFmtId="0" fontId="14" fillId="7" borderId="0" xfId="0" applyNumberFormat="1" applyFont="1" applyFill="1" applyBorder="1" applyAlignment="1">
      <x:alignment vertical="center"/>
    </x:xf>
    <x:xf numFmtId="0" fontId="14" fillId="7" borderId="16" xfId="0" applyNumberFormat="1" applyFont="1" applyFill="1" applyBorder="1" applyAlignment="1">
      <x:alignment vertical="center"/>
    </x:xf>
    <x:xf numFmtId="0" fontId="14" fillId="7" borderId="17" xfId="0" applyNumberFormat="1" applyFont="1" applyFill="1" applyBorder="1" applyAlignment="1">
      <x:alignment vertical="center"/>
    </x:xf>
    <x:xf numFmtId="0" fontId="14" fillId="7" borderId="18" xfId="0" applyNumberFormat="1" applyFont="1" applyFill="1" applyBorder="1" applyAlignment="1">
      <x:alignment vertical="center"/>
    </x:xf>
    <x:xf numFmtId="0" fontId="14" fillId="7" borderId="19" xfId="0" applyNumberFormat="1" applyFont="1" applyFill="1" applyBorder="1" applyAlignment="1">
      <x:alignment vertical="center"/>
    </x:xf>
    <x:xf numFmtId="0" fontId="14" fillId="7" borderId="20" xfId="0" applyNumberFormat="1" applyFont="1" applyFill="1" applyBorder="1" applyAlignment="1">
      <x:alignment vertical="center"/>
    </x:xf>
    <x:xf numFmtId="0" fontId="14" fillId="7" borderId="21" xfId="0" applyNumberFormat="1" applyFont="1" applyFill="1" applyBorder="1" applyAlignment="1">
      <x:alignment vertical="center"/>
    </x:xf>
    <x:xf numFmtId="0" fontId="14" fillId="7" borderId="22" xfId="0" applyNumberFormat="1" applyFont="1" applyFill="1" applyBorder="1" applyAlignment="1">
      <x:alignment vertical="center"/>
    </x:xf>
    <x:xf numFmtId="0" fontId="14" fillId="7" borderId="23" xfId="0" applyNumberFormat="1" applyFont="1" applyFill="1" applyBorder="1" applyAlignment="1">
      <x:alignment vertical="center"/>
    </x:xf>
    <x:xf numFmtId="0" fontId="14" fillId="7" borderId="16" xfId="0" applyNumberFormat="1" applyFont="1" applyFill="1" applyBorder="1" applyAlignment="1">
      <x:alignment horizontal="center" vertical="center"/>
    </x:xf>
    <x:xf numFmtId="0" fontId="14" fillId="7" borderId="17" xfId="0" applyNumberFormat="1" applyFont="1" applyFill="1" applyBorder="1" applyAlignment="1">
      <x:alignment horizontal="center" vertical="center"/>
    </x:xf>
    <x:xf numFmtId="0" fontId="14" fillId="7" borderId="18" xfId="0" applyNumberFormat="1" applyFont="1" applyFill="1" applyBorder="1" applyAlignment="1">
      <x:alignment horizontal="center" vertical="center"/>
    </x:xf>
    <x:xf numFmtId="0" fontId="14" fillId="7" borderId="19" xfId="0" applyNumberFormat="1" applyFont="1" applyFill="1" applyBorder="1" applyAlignment="1">
      <x:alignment horizontal="center" vertical="center"/>
    </x:xf>
    <x:xf numFmtId="0" fontId="14" fillId="7" borderId="0" xfId="0" applyNumberFormat="1" applyFont="1" applyFill="1" applyBorder="1" applyAlignment="1">
      <x:alignment horizontal="center" vertical="center"/>
    </x:xf>
    <x:xf numFmtId="0" fontId="14" fillId="7" borderId="20" xfId="0" applyNumberFormat="1" applyFont="1" applyFill="1" applyBorder="1" applyAlignment="1">
      <x:alignment horizontal="center" vertical="center"/>
    </x:xf>
    <x:xf numFmtId="0" fontId="14" fillId="7" borderId="21" xfId="0" applyNumberFormat="1" applyFont="1" applyFill="1" applyBorder="1" applyAlignment="1">
      <x:alignment horizontal="center" vertical="center"/>
    </x:xf>
    <x:xf numFmtId="0" fontId="14" fillId="7" borderId="22" xfId="0" applyNumberFormat="1" applyFont="1" applyFill="1" applyBorder="1" applyAlignment="1">
      <x:alignment horizontal="center" vertical="center"/>
    </x:xf>
    <x:xf numFmtId="0" fontId="14" fillId="7" borderId="23" xfId="0" applyNumberFormat="1" applyFont="1" applyFill="1" applyBorder="1" applyAlignment="1">
      <x:alignment horizontal="center" vertical="center"/>
    </x:xf>
    <x:xf numFmtId="0" fontId="15" fillId="8" borderId="0" xfId="0" applyNumberFormat="1" applyFont="1" applyFill="1" applyBorder="1" applyAlignment="1">
      <x:alignment vertical="center"/>
    </x:xf>
    <x:xf numFmtId="0" fontId="15" fillId="8" borderId="24" xfId="0" applyNumberFormat="1" applyFont="1" applyFill="1" applyBorder="1" applyAlignment="1">
      <x:alignment vertical="center"/>
    </x:xf>
    <x:xf numFmtId="0" fontId="15" fillId="8" borderId="25" xfId="0" applyNumberFormat="1" applyFont="1" applyFill="1" applyBorder="1" applyAlignment="1">
      <x:alignment vertical="center"/>
    </x:xf>
    <x:xf numFmtId="0" fontId="15" fillId="8" borderId="26" xfId="0" applyNumberFormat="1" applyFont="1" applyFill="1" applyBorder="1" applyAlignment="1">
      <x:alignment vertical="center"/>
    </x:xf>
    <x:xf numFmtId="0" fontId="15" fillId="8" borderId="27" xfId="0" applyNumberFormat="1" applyFont="1" applyFill="1" applyBorder="1" applyAlignment="1">
      <x:alignment vertical="center"/>
    </x:xf>
    <x:xf numFmtId="0" fontId="15" fillId="8" borderId="28" xfId="0" applyNumberFormat="1" applyFont="1" applyFill="1" applyBorder="1" applyAlignment="1">
      <x:alignment vertical="center"/>
    </x:xf>
    <x:xf numFmtId="0" fontId="15" fillId="8" borderId="29" xfId="0" applyNumberFormat="1" applyFont="1" applyFill="1" applyBorder="1" applyAlignment="1">
      <x:alignment vertical="center"/>
    </x:xf>
    <x:xf numFmtId="0" fontId="15" fillId="8" borderId="30" xfId="0" applyNumberFormat="1" applyFont="1" applyFill="1" applyBorder="1" applyAlignment="1">
      <x:alignment vertical="center"/>
    </x:xf>
    <x:xf numFmtId="0" fontId="15" fillId="8" borderId="31" xfId="0" applyNumberFormat="1" applyFont="1" applyFill="1" applyBorder="1" applyAlignment="1">
      <x:alignment vertical="center"/>
    </x:xf>
    <x:xf numFmtId="0" fontId="15" fillId="8" borderId="24" xfId="0" applyNumberFormat="1" applyFont="1" applyFill="1" applyBorder="1" applyAlignment="1">
      <x:alignment vertical="center" wrapText="1"/>
    </x:xf>
    <x:xf numFmtId="0" fontId="15" fillId="8" borderId="25" xfId="0" applyNumberFormat="1" applyFont="1" applyFill="1" applyBorder="1" applyAlignment="1">
      <x:alignment vertical="center" wrapText="1"/>
    </x:xf>
    <x:xf numFmtId="0" fontId="15" fillId="8" borderId="26" xfId="0" applyNumberFormat="1" applyFont="1" applyFill="1" applyBorder="1" applyAlignment="1">
      <x:alignment vertical="center" wrapText="1"/>
    </x:xf>
    <x:xf numFmtId="0" fontId="15" fillId="8" borderId="27" xfId="0" applyNumberFormat="1" applyFont="1" applyFill="1" applyBorder="1" applyAlignment="1">
      <x:alignment vertical="center" wrapText="1"/>
    </x:xf>
    <x:xf numFmtId="0" fontId="15" fillId="8" borderId="0" xfId="0" applyNumberFormat="1" applyFont="1" applyFill="1" applyBorder="1" applyAlignment="1">
      <x:alignment vertical="center" wrapText="1"/>
    </x:xf>
    <x:xf numFmtId="0" fontId="15" fillId="8" borderId="28" xfId="0" applyNumberFormat="1" applyFont="1" applyFill="1" applyBorder="1" applyAlignment="1">
      <x:alignment vertical="center" wrapText="1"/>
    </x:xf>
    <x:xf numFmtId="0" fontId="15" fillId="8" borderId="29" xfId="0" applyNumberFormat="1" applyFont="1" applyFill="1" applyBorder="1" applyAlignment="1">
      <x:alignment vertical="center" wrapText="1"/>
    </x:xf>
    <x:xf numFmtId="0" fontId="15" fillId="8" borderId="30" xfId="0" applyNumberFormat="1" applyFont="1" applyFill="1" applyBorder="1" applyAlignment="1">
      <x:alignment vertical="center" wrapText="1"/>
    </x:xf>
    <x:xf numFmtId="0" fontId="15" fillId="8" borderId="31" xfId="0" applyNumberFormat="1" applyFont="1" applyFill="1" applyBorder="1" applyAlignment="1">
      <x:alignment vertical="center" wrapText="1"/>
    </x:xf>
    <x:xf numFmtId="0" fontId="15" fillId="8" borderId="24" xfId="0" applyNumberFormat="1" applyFont="1" applyFill="1" applyBorder="1" applyAlignment="1">
      <x:alignment horizontal="center" vertical="center" wrapText="1"/>
    </x:xf>
    <x:xf numFmtId="0" fontId="15" fillId="8" borderId="25" xfId="0" applyNumberFormat="1" applyFont="1" applyFill="1" applyBorder="1" applyAlignment="1">
      <x:alignment horizontal="center" vertical="center" wrapText="1"/>
    </x:xf>
    <x:xf numFmtId="0" fontId="15" fillId="8" borderId="26" xfId="0" applyNumberFormat="1" applyFont="1" applyFill="1" applyBorder="1" applyAlignment="1">
      <x:alignment horizontal="center" vertical="center" wrapText="1"/>
    </x:xf>
    <x:xf numFmtId="0" fontId="15" fillId="8" borderId="27" xfId="0" applyNumberFormat="1" applyFont="1" applyFill="1" applyBorder="1" applyAlignment="1">
      <x:alignment horizontal="center" vertical="center" wrapText="1"/>
    </x:xf>
    <x:xf numFmtId="0" fontId="15" fillId="8" borderId="0" xfId="0" applyNumberFormat="1" applyFont="1" applyFill="1" applyBorder="1" applyAlignment="1">
      <x:alignment horizontal="center" vertical="center" wrapText="1"/>
    </x:xf>
    <x:xf numFmtId="0" fontId="15" fillId="8" borderId="28" xfId="0" applyNumberFormat="1" applyFont="1" applyFill="1" applyBorder="1" applyAlignment="1">
      <x:alignment horizontal="center" vertical="center" wrapText="1"/>
    </x:xf>
    <x:xf numFmtId="0" fontId="15" fillId="8" borderId="29" xfId="0" applyNumberFormat="1" applyFont="1" applyFill="1" applyBorder="1" applyAlignment="1">
      <x:alignment horizontal="center" vertical="center" wrapText="1"/>
    </x:xf>
    <x:xf numFmtId="0" fontId="15" fillId="8" borderId="30" xfId="0" applyNumberFormat="1" applyFont="1" applyFill="1" applyBorder="1" applyAlignment="1">
      <x:alignment horizontal="center" vertical="center" wrapText="1"/>
    </x:xf>
    <x:xf numFmtId="0" fontId="15" fillId="8" borderId="31" xfId="0" applyNumberFormat="1" applyFont="1" applyFill="1" applyBorder="1" applyAlignment="1">
      <x:alignment horizontal="center" vertical="center" wrapText="1"/>
    </x:xf>
    <x:xf numFmtId="0" fontId="1" fillId="10" borderId="0" xfId="0" applyNumberFormat="1" applyFont="1" applyFill="1" applyBorder="1" applyAlignment="1">
      <x:alignment vertical="center"/>
    </x:xf>
    <x:xf numFmtId="0" fontId="16" fillId="10" borderId="0" xfId="0" applyNumberFormat="1" applyFont="1" applyFill="1" applyBorder="1" applyAlignment="1">
      <x:alignment vertical="center"/>
    </x:xf>
    <x:xf numFmtId="0" fontId="16" fillId="10" borderId="32" xfId="0" applyNumberFormat="1" applyFont="1" applyFill="1" applyBorder="1" applyAlignment="1">
      <x:alignment vertical="center"/>
    </x:xf>
    <x:xf numFmtId="0" fontId="16" fillId="10" borderId="33" xfId="0" applyNumberFormat="1" applyFont="1" applyFill="1" applyBorder="1" applyAlignment="1">
      <x:alignment vertical="center"/>
    </x:xf>
    <x:xf numFmtId="0" fontId="16" fillId="10" borderId="34" xfId="0" applyNumberFormat="1" applyFont="1" applyFill="1" applyBorder="1" applyAlignment="1">
      <x:alignment vertical="center"/>
    </x:xf>
    <x:xf numFmtId="0" fontId="16" fillId="10" borderId="35" xfId="0" applyNumberFormat="1" applyFont="1" applyFill="1" applyBorder="1" applyAlignment="1">
      <x:alignment vertical="center"/>
    </x:xf>
    <x:xf numFmtId="0" fontId="16" fillId="10" borderId="36" xfId="0" applyNumberFormat="1" applyFont="1" applyFill="1" applyBorder="1" applyAlignment="1">
      <x:alignment vertical="center"/>
    </x:xf>
    <x:xf numFmtId="0" fontId="16" fillId="10" borderId="37" xfId="0" applyNumberFormat="1" applyFont="1" applyFill="1" applyBorder="1" applyAlignment="1">
      <x:alignment vertical="center"/>
    </x:xf>
    <x:xf numFmtId="0" fontId="16" fillId="10" borderId="38" xfId="0" applyNumberFormat="1" applyFont="1" applyFill="1" applyBorder="1" applyAlignment="1">
      <x:alignment vertical="center"/>
    </x:xf>
    <x:xf numFmtId="0" fontId="16" fillId="10" borderId="39" xfId="0" applyNumberFormat="1" applyFont="1" applyFill="1" applyBorder="1" applyAlignment="1">
      <x:alignment vertical="center"/>
    </x:xf>
    <x:xf numFmtId="0" fontId="16" fillId="10" borderId="32" xfId="0" applyNumberFormat="1" applyFont="1" applyFill="1" applyBorder="1" applyAlignment="1">
      <x:alignment vertical="center" wrapText="1"/>
    </x:xf>
    <x:xf numFmtId="0" fontId="16" fillId="10" borderId="33" xfId="0" applyNumberFormat="1" applyFont="1" applyFill="1" applyBorder="1" applyAlignment="1">
      <x:alignment vertical="center" wrapText="1"/>
    </x:xf>
    <x:xf numFmtId="0" fontId="16" fillId="10" borderId="34" xfId="0" applyNumberFormat="1" applyFont="1" applyFill="1" applyBorder="1" applyAlignment="1">
      <x:alignment vertical="center" wrapText="1"/>
    </x:xf>
    <x:xf numFmtId="0" fontId="16" fillId="10" borderId="35" xfId="0" applyNumberFormat="1" applyFont="1" applyFill="1" applyBorder="1" applyAlignment="1">
      <x:alignment vertical="center" wrapText="1"/>
    </x:xf>
    <x:xf numFmtId="0" fontId="16" fillId="10" borderId="0" xfId="0" applyNumberFormat="1" applyFont="1" applyFill="1" applyBorder="1" applyAlignment="1">
      <x:alignment vertical="center" wrapText="1"/>
    </x:xf>
    <x:xf numFmtId="0" fontId="16" fillId="10" borderId="36" xfId="0" applyNumberFormat="1" applyFont="1" applyFill="1" applyBorder="1" applyAlignment="1">
      <x:alignment vertical="center" wrapText="1"/>
    </x:xf>
    <x:xf numFmtId="0" fontId="16" fillId="10" borderId="37" xfId="0" applyNumberFormat="1" applyFont="1" applyFill="1" applyBorder="1" applyAlignment="1">
      <x:alignment vertical="center" wrapText="1"/>
    </x:xf>
    <x:xf numFmtId="0" fontId="16" fillId="10" borderId="38" xfId="0" applyNumberFormat="1" applyFont="1" applyFill="1" applyBorder="1" applyAlignment="1">
      <x:alignment vertical="center" wrapText="1"/>
    </x:xf>
    <x:xf numFmtId="0" fontId="16" fillId="10" borderId="39" xfId="0" applyNumberFormat="1" applyFont="1" applyFill="1" applyBorder="1" applyAlignment="1">
      <x:alignment vertical="center" wrapText="1"/>
    </x:xf>
    <x:xf numFmtId="209" fontId="1"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11"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1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13" fontId="1" fillId="0" borderId="0" xfId="0" applyNumberFormat="1" applyFont="1" applyFill="1" applyBorder="1" applyAlignment="1">
      <x:alignment vertical="center"/>
    </x:xf>
    <x:xf numFmtId="214" fontId="1" fillId="0" borderId="0" xfId="0" applyNumberFormat="1" applyFont="1" applyFill="1" applyBorder="1" applyAlignment="1">
      <x:alignment vertical="center"/>
    </x:xf>
    <x:xf numFmtId="215" fontId="1" fillId="0" borderId="0" xfId="0" applyNumberFormat="1" applyFont="1" applyFill="1" applyBorder="1" applyAlignment="1">
      <x:alignment vertical="center"/>
    </x:xf>
    <x:xf numFmtId="216" fontId="1" fillId="0" borderId="0" xfId="0" applyNumberFormat="1" applyFont="1" applyFill="1" applyBorder="1" applyAlignment="1">
      <x:alignment vertical="center"/>
    </x:xf>
    <x:xf numFmtId="209" fontId="5" fillId="0" borderId="0" xfId="0" applyNumberFormat="1" applyFont="1" applyFill="1" applyBorder="1" applyAlignment="1">
      <x:alignment vertical="center"/>
    </x:xf>
    <x:xf numFmtId="210" fontId="5" fillId="0" borderId="0" xfId="0" applyNumberFormat="1" applyFont="1" applyFill="1" applyBorder="1" applyAlignment="1">
      <x:alignment vertical="center"/>
    </x:xf>
    <x:xf numFmtId="209" fontId="5" fillId="0" borderId="2" xfId="0" applyNumberFormat="1" applyFont="1" applyFill="1" applyBorder="1" applyAlignment="1">
      <x:alignment vertical="center"/>
    </x:xf>
    <x:xf numFmtId="210" fontId="5" fillId="0" borderId="2" xfId="0" applyNumberFormat="1" applyFont="1" applyFill="1" applyBorder="1" applyAlignment="1">
      <x:alignment vertical="center"/>
    </x:xf>
    <x:xf numFmtId="200" fontId="5" fillId="0" borderId="0" xfId="0" applyNumberFormat="1" applyFont="1" applyFill="1" applyBorder="1" applyAlignment="1">
      <x:alignment vertical="center"/>
    </x:xf>
    <x:xf numFmtId="211" fontId="5" fillId="0" borderId="0" xfId="0" applyNumberFormat="1" applyFont="1" applyFill="1" applyBorder="1" applyAlignment="1">
      <x:alignment vertical="center"/>
    </x:xf>
    <x:xf numFmtId="201" fontId="5" fillId="0" borderId="0" xfId="0" applyNumberFormat="1" applyFont="1" applyFill="1" applyBorder="1" applyAlignment="1">
      <x:alignment vertical="center"/>
    </x:xf>
    <x:xf numFmtId="212" fontId="5" fillId="0" borderId="0" xfId="0" applyNumberFormat="1" applyFont="1" applyFill="1" applyBorder="1" applyAlignment="1">
      <x:alignment vertical="center"/>
    </x:xf>
    <x:xf numFmtId="211" fontId="5" fillId="0" borderId="2" xfId="0" applyNumberFormat="1" applyFont="1" applyFill="1" applyBorder="1" applyAlignment="1">
      <x:alignment vertical="center"/>
    </x:xf>
    <x:xf numFmtId="212" fontId="5" fillId="0" borderId="2" xfId="0" applyNumberFormat="1" applyFont="1" applyFill="1" applyBorder="1" applyAlignment="1">
      <x:alignment vertical="center"/>
    </x:xf>
    <x:xf numFmtId="203" fontId="5" fillId="0" borderId="0" xfId="0" applyNumberFormat="1" applyFont="1" applyFill="1" applyBorder="1" applyAlignment="1">
      <x:alignment vertical="center"/>
    </x:xf>
    <x:xf numFmtId="213" fontId="5" fillId="0" borderId="0" xfId="0" applyNumberFormat="1" applyFont="1" applyFill="1" applyBorder="1" applyAlignment="1">
      <x:alignment vertical="center"/>
    </x:xf>
    <x:xf numFmtId="214" fontId="5" fillId="0" borderId="0" xfId="0" applyNumberFormat="1" applyFont="1" applyFill="1" applyBorder="1" applyAlignment="1">
      <x:alignment vertical="center"/>
    </x:xf>
    <x:xf numFmtId="215" fontId="5" fillId="0" borderId="0" xfId="0" applyNumberFormat="1" applyFont="1" applyFill="1" applyBorder="1" applyAlignment="1">
      <x:alignment vertical="center"/>
    </x:xf>
    <x:xf numFmtId="216" fontId="5" fillId="0" borderId="0" xfId="0" applyNumberFormat="1" applyFont="1" applyFill="1" applyBorder="1" applyAlignment="1">
      <x:alignment vertical="center"/>
    </x:xf>
    <x:xf numFmtId="213" fontId="5" fillId="0" borderId="2" xfId="0" applyNumberFormat="1" applyFont="1" applyFill="1" applyBorder="1" applyAlignment="1">
      <x:alignment vertical="center"/>
    </x:xf>
    <x:xf numFmtId="214" fontId="5" fillId="0" borderId="2" xfId="0" applyNumberFormat="1" applyFont="1" applyFill="1" applyBorder="1" applyAlignment="1">
      <x:alignment vertical="center"/>
    </x:xf>
    <x:xf numFmtId="215" fontId="5" fillId="0" borderId="2" xfId="0" applyNumberFormat="1" applyFont="1" applyFill="1" applyBorder="1" applyAlignment="1">
      <x:alignment vertical="center"/>
    </x:xf>
    <x:xf numFmtId="216" fontId="5" fillId="0" borderId="2" xfId="0" applyNumberFormat="1" applyFont="1" applyFill="1" applyBorder="1" applyAlignment="1">
      <x:alignment vertical="center"/>
    </x:xf>
    <x:xf numFmtId="209" fontId="5" fillId="0" borderId="2" xfId="0" applyNumberFormat="1" applyFont="1" applyFill="1" applyBorder="1" applyAlignment="1">
      <x:alignment vertical="center" wrapText="1"/>
    </x:xf>
    <x:xf numFmtId="210" fontId="5" fillId="0" borderId="2" xfId="0" applyNumberFormat="1" applyFont="1" applyFill="1" applyBorder="1" applyAlignment="1">
      <x:alignment vertical="center" wrapText="1"/>
    </x:xf>
    <x:xf numFmtId="0" fontId="9" fillId="5" borderId="0" xfId="0" applyNumberFormat="1" applyFont="1" applyFill="1" applyBorder="1" applyAlignment="1">
      <x:alignment vertical="center" wrapText="1"/>
    </x:xf>
    <x:xf numFmtId="200" fontId="5" fillId="0" borderId="2" xfId="0" applyNumberFormat="1" applyFont="1" applyFill="1" applyBorder="1" applyAlignment="1">
      <x:alignment vertical="center" wrapText="1"/>
    </x:xf>
    <x:xf numFmtId="211" fontId="5" fillId="0" borderId="2" xfId="0" applyNumberFormat="1" applyFont="1" applyFill="1" applyBorder="1" applyAlignment="1">
      <x:alignment vertical="center" wrapText="1"/>
    </x:xf>
    <x:xf numFmtId="201" fontId="5" fillId="0" borderId="2" xfId="0" applyNumberFormat="1" applyFont="1" applyFill="1" applyBorder="1" applyAlignment="1">
      <x:alignment vertical="center" wrapText="1"/>
    </x:xf>
    <x:xf numFmtId="212" fontId="5" fillId="0" borderId="2" xfId="0" applyNumberFormat="1" applyFont="1" applyFill="1" applyBorder="1" applyAlignment="1">
      <x:alignment vertical="center" wrapText="1"/>
    </x:xf>
    <x:xf numFmtId="203" fontId="5" fillId="0" borderId="2" xfId="0" applyNumberFormat="1" applyFont="1" applyFill="1" applyBorder="1" applyAlignment="1">
      <x:alignment vertical="center" wrapText="1"/>
    </x:xf>
    <x:xf numFmtId="213" fontId="5" fillId="0" borderId="2" xfId="0" applyNumberFormat="1" applyFont="1" applyFill="1" applyBorder="1" applyAlignment="1">
      <x:alignment vertical="center" wrapText="1"/>
    </x:xf>
    <x:xf numFmtId="214" fontId="5" fillId="0" borderId="2" xfId="0" applyNumberFormat="1" applyFont="1" applyFill="1" applyBorder="1" applyAlignment="1">
      <x:alignment vertical="center" wrapText="1"/>
    </x:xf>
    <x:xf numFmtId="215" fontId="5" fillId="0" borderId="2" xfId="0" applyNumberFormat="1" applyFont="1" applyFill="1" applyBorder="1" applyAlignment="1">
      <x:alignment vertical="center" wrapText="1"/>
    </x:xf>
    <x:xf numFmtId="216" fontId="5" fillId="0" borderId="2" xfId="0" applyNumberFormat="1" applyFont="1" applyFill="1" applyBorder="1" applyAlignment="1">
      <x:alignment vertical="center" wrapText="1"/>
    </x:xf>
    <x:xf numFmtId="209" fontId="5" fillId="9" borderId="2" xfId="0" applyNumberFormat="1" applyFont="1" applyFill="1" applyBorder="1" applyAlignment="1">
      <x:alignment vertical="center" wrapText="1"/>
    </x:xf>
    <x:xf numFmtId="0" fontId="5" fillId="9" borderId="2" xfId="0" applyNumberFormat="1" applyFont="1" applyFill="1" applyBorder="1" applyAlignment="1">
      <x:alignment vertical="center" wrapText="1"/>
    </x:xf>
    <x:xf numFmtId="210" fontId="5" fillId="9" borderId="2" xfId="0" applyNumberFormat="1" applyFont="1" applyFill="1" applyBorder="1" applyAlignment="1">
      <x:alignment vertical="center" wrapText="1"/>
    </x:xf>
    <x:xf numFmtId="209" fontId="17" fillId="9" borderId="2" xfId="0" applyNumberFormat="1" applyFont="1" applyFill="1" applyBorder="1" applyAlignment="1">
      <x:alignment vertical="center" wrapText="1"/>
    </x:xf>
    <x:xf numFmtId="0" fontId="17" fillId="9" borderId="2" xfId="0" applyNumberFormat="1" applyFont="1" applyFill="1" applyBorder="1" applyAlignment="1">
      <x:alignment vertical="center" wrapText="1"/>
    </x:xf>
    <x:xf numFmtId="210" fontId="17" fillId="9" borderId="2" xfId="0" applyNumberFormat="1" applyFont="1" applyFill="1" applyBorder="1" applyAlignment="1">
      <x:alignment vertical="center" wrapText="1"/>
    </x:xf>
    <x:xf numFmtId="209" fontId="17" fillId="9" borderId="15" xfId="0" applyNumberFormat="1" applyFont="1" applyFill="1" applyBorder="1" applyAlignment="1">
      <x:alignment vertical="center" wrapText="1"/>
    </x:xf>
    <x:xf numFmtId="0" fontId="17" fillId="9" borderId="15" xfId="0" applyNumberFormat="1" applyFont="1" applyFill="1" applyBorder="1" applyAlignment="1">
      <x:alignment vertical="center" wrapText="1"/>
    </x:xf>
    <x:xf numFmtId="210" fontId="17" fillId="9" borderId="15" xfId="0" applyNumberFormat="1" applyFont="1" applyFill="1" applyBorder="1" applyAlignment="1">
      <x:alignment vertical="center" wrapText="1"/>
    </x:xf>
    <x:xf numFmtId="200" fontId="5" fillId="9" borderId="2" xfId="0" applyNumberFormat="1" applyFont="1" applyFill="1" applyBorder="1" applyAlignment="1">
      <x:alignment vertical="center" wrapText="1"/>
    </x:xf>
    <x:xf numFmtId="200" fontId="17" fillId="9" borderId="2" xfId="0" applyNumberFormat="1" applyFont="1" applyFill="1" applyBorder="1" applyAlignment="1">
      <x:alignment vertical="center" wrapText="1"/>
    </x:xf>
    <x:xf numFmtId="200" fontId="17" fillId="9" borderId="15" xfId="0" applyNumberFormat="1" applyFont="1" applyFill="1" applyBorder="1" applyAlignment="1">
      <x:alignment vertical="center" wrapText="1"/>
    </x:xf>
    <x:xf numFmtId="211" fontId="5" fillId="9" borderId="2" xfId="0" applyNumberFormat="1" applyFont="1" applyFill="1" applyBorder="1" applyAlignment="1">
      <x:alignment vertical="center" wrapText="1"/>
    </x:xf>
    <x:xf numFmtId="201" fontId="5" fillId="9" borderId="2" xfId="0" applyNumberFormat="1" applyFont="1" applyFill="1" applyBorder="1" applyAlignment="1">
      <x:alignment vertical="center" wrapText="1"/>
    </x:xf>
    <x:xf numFmtId="212" fontId="5" fillId="9" borderId="2" xfId="0" applyNumberFormat="1" applyFont="1" applyFill="1" applyBorder="1" applyAlignment="1">
      <x:alignment vertical="center" wrapText="1"/>
    </x:xf>
    <x:xf numFmtId="211" fontId="17" fillId="9" borderId="2" xfId="0" applyNumberFormat="1" applyFont="1" applyFill="1" applyBorder="1" applyAlignment="1">
      <x:alignment vertical="center" wrapText="1"/>
    </x:xf>
    <x:xf numFmtId="201" fontId="17" fillId="9" borderId="2" xfId="0" applyNumberFormat="1" applyFont="1" applyFill="1" applyBorder="1" applyAlignment="1">
      <x:alignment vertical="center" wrapText="1"/>
    </x:xf>
    <x:xf numFmtId="212" fontId="17" fillId="9" borderId="2" xfId="0" applyNumberFormat="1" applyFont="1" applyFill="1" applyBorder="1" applyAlignment="1">
      <x:alignment vertical="center" wrapText="1"/>
    </x:xf>
    <x:xf numFmtId="211" fontId="17" fillId="9" borderId="15" xfId="0" applyNumberFormat="1" applyFont="1" applyFill="1" applyBorder="1" applyAlignment="1">
      <x:alignment vertical="center" wrapText="1"/>
    </x:xf>
    <x:xf numFmtId="201" fontId="17" fillId="9" borderId="15" xfId="0" applyNumberFormat="1" applyFont="1" applyFill="1" applyBorder="1" applyAlignment="1">
      <x:alignment vertical="center" wrapText="1"/>
    </x:xf>
    <x:xf numFmtId="212" fontId="17" fillId="9" borderId="15" xfId="0" applyNumberFormat="1" applyFont="1" applyFill="1" applyBorder="1" applyAlignment="1">
      <x:alignment vertical="center" wrapText="1"/>
    </x:xf>
    <x:xf numFmtId="203" fontId="5" fillId="9" borderId="2" xfId="0" applyNumberFormat="1" applyFont="1" applyFill="1" applyBorder="1" applyAlignment="1">
      <x:alignment vertical="center" wrapText="1"/>
    </x:xf>
    <x:xf numFmtId="213" fontId="5" fillId="9" borderId="2" xfId="0" applyNumberFormat="1" applyFont="1" applyFill="1" applyBorder="1" applyAlignment="1">
      <x:alignment vertical="center" wrapText="1"/>
    </x:xf>
    <x:xf numFmtId="214" fontId="5" fillId="9" borderId="2" xfId="0" applyNumberFormat="1" applyFont="1" applyFill="1" applyBorder="1" applyAlignment="1">
      <x:alignment vertical="center" wrapText="1"/>
    </x:xf>
    <x:xf numFmtId="215" fontId="5" fillId="9" borderId="2" xfId="0" applyNumberFormat="1" applyFont="1" applyFill="1" applyBorder="1" applyAlignment="1">
      <x:alignment vertical="center" wrapText="1"/>
    </x:xf>
    <x:xf numFmtId="203" fontId="17" fillId="9" borderId="2" xfId="0" applyNumberFormat="1" applyFont="1" applyFill="1" applyBorder="1" applyAlignment="1">
      <x:alignment vertical="center" wrapText="1"/>
    </x:xf>
    <x:xf numFmtId="213" fontId="17" fillId="9" borderId="2" xfId="0" applyNumberFormat="1" applyFont="1" applyFill="1" applyBorder="1" applyAlignment="1">
      <x:alignment vertical="center" wrapText="1"/>
    </x:xf>
    <x:xf numFmtId="214" fontId="17" fillId="9" borderId="2" xfId="0" applyNumberFormat="1" applyFont="1" applyFill="1" applyBorder="1" applyAlignment="1">
      <x:alignment vertical="center" wrapText="1"/>
    </x:xf>
    <x:xf numFmtId="215" fontId="17" fillId="9" borderId="2" xfId="0" applyNumberFormat="1" applyFont="1" applyFill="1" applyBorder="1" applyAlignment="1">
      <x:alignment vertical="center" wrapText="1"/>
    </x:xf>
    <x:xf numFmtId="203" fontId="17" fillId="9" borderId="15" xfId="0" applyNumberFormat="1" applyFont="1" applyFill="1" applyBorder="1" applyAlignment="1">
      <x:alignment vertical="center" wrapText="1"/>
    </x:xf>
    <x:xf numFmtId="213" fontId="17" fillId="9" borderId="15" xfId="0" applyNumberFormat="1" applyFont="1" applyFill="1" applyBorder="1" applyAlignment="1">
      <x:alignment vertical="center" wrapText="1"/>
    </x:xf>
    <x:xf numFmtId="214" fontId="17" fillId="9" borderId="15" xfId="0" applyNumberFormat="1" applyFont="1" applyFill="1" applyBorder="1" applyAlignment="1">
      <x:alignment vertical="center" wrapText="1"/>
    </x:xf>
    <x:xf numFmtId="215" fontId="17" fillId="9" borderId="15" xfId="0" applyNumberFormat="1" applyFont="1" applyFill="1" applyBorder="1" applyAlignment="1">
      <x:alignment vertical="center" wrapText="1"/>
    </x:xf>
    <x:xf numFmtId="200" fontId="5" fillId="7" borderId="2" xfId="0" applyNumberFormat="1" applyFont="1" applyFill="1" applyBorder="1" applyAlignment="1">
      <x:alignment vertical="center" wrapText="1"/>
    </x:xf>
    <x:xf numFmtId="0" fontId="5" fillId="7" borderId="2" xfId="0" applyNumberFormat="1" applyFont="1" applyFill="1" applyBorder="1" applyAlignment="1">
      <x:alignment vertical="center" wrapText="1"/>
    </x:xf>
    <x:xf numFmtId="200" fontId="10" fillId="7" borderId="2" xfId="0" applyNumberFormat="1" applyFont="1" applyFill="1" applyBorder="1" applyAlignment="1">
      <x:alignment vertical="center" wrapText="1"/>
    </x:xf>
    <x:xf numFmtId="0" fontId="10" fillId="7" borderId="2" xfId="0" applyNumberFormat="1" applyFont="1" applyFill="1" applyBorder="1" applyAlignment="1">
      <x:alignment vertical="center" wrapText="1"/>
    </x:xf>
    <x:xf numFmtId="200" fontId="10" fillId="7" borderId="11" xfId="0" applyNumberFormat="1" applyFont="1" applyFill="1" applyBorder="1" applyAlignment="1">
      <x:alignment vertical="center" wrapText="1"/>
    </x:xf>
    <x:xf numFmtId="0" fontId="10" fillId="7" borderId="11" xfId="0" applyNumberFormat="1" applyFont="1" applyFill="1" applyBorder="1" applyAlignment="1">
      <x:alignment vertical="center" wrapText="1"/>
    </x:xf>
    <x:xf numFmtId="216" fontId="5" fillId="7" borderId="2" xfId="0" applyNumberFormat="1" applyFont="1" applyFill="1" applyBorder="1" applyAlignment="1">
      <x:alignment vertical="center" wrapText="1"/>
    </x:xf>
    <x:xf numFmtId="216" fontId="10" fillId="7" borderId="2" xfId="0" applyNumberFormat="1" applyFont="1" applyFill="1" applyBorder="1" applyAlignment="1">
      <x:alignment vertical="center" wrapText="1"/>
    </x:xf>
    <x:xf numFmtId="216" fontId="10" fillId="7" borderId="11" xfId="0" applyNumberFormat="1" applyFont="1" applyFill="1" applyBorder="1" applyAlignment="1">
      <x:alignment vertical="center" wrapText="1"/>
    </x:xf>
    <x:xf numFmtId="0" fontId="5" fillId="9" borderId="2" xfId="0" applyNumberFormat="1" applyFont="1" applyFill="1" applyBorder="1" applyAlignment="1">
      <x:alignment vertical="center"/>
    </x:xf>
    <x:xf numFmtId="0" fontId="17" fillId="9" borderId="2" xfId="0" applyNumberFormat="1" applyFont="1" applyFill="1" applyBorder="1" applyAlignment="1">
      <x:alignment vertical="center"/>
    </x:xf>
    <x:xf numFmtId="0" fontId="17" fillId="9" borderId="15" xfId="0" applyNumberFormat="1" applyFont="1" applyFill="1" applyBorder="1" applyAlignment="1">
      <x:alignment vertical="center"/>
    </x:xf>
    <x:xf numFmtId="203" fontId="17" fillId="9" borderId="15" xfId="0" applyNumberFormat="1" applyFont="1" applyFill="1" applyBorder="1" applyAlignment="1">
      <x:alignment vertical="center"/>
    </x:xf>
    <x:xf numFmtId="204" fontId="17" fillId="9" borderId="15" xfId="0" applyNumberFormat="1" applyFont="1" applyFill="1" applyBorder="1" applyAlignment="1">
      <x:alignment vertical="center"/>
    </x:xf>
    <x:xf numFmtId="0" fontId="10" fillId="7" borderId="15" xfId="0" applyNumberFormat="1" applyFont="1" applyFill="1" applyBorder="1" applyAlignment="1">
      <x:alignment vertical="center"/>
    </x:xf>
    <x:xf numFmtId="0" fontId="18" fillId="9" borderId="0" xfId="0" applyNumberFormat="1" applyFont="1" applyFill="1" applyBorder="1" applyAlignment="1">
      <x:alignment vertical="center"/>
    </x:xf>
    <x:xf numFmtId="0" fontId="18" fillId="9" borderId="15" xfId="0" applyNumberFormat="1" applyFont="1" applyFill="1" applyBorder="1" applyAlignment="1">
      <x:alignment vertical="center"/>
    </x:xf>
    <x:xf numFmtId="0" fontId="18" fillId="9" borderId="15" xfId="0" applyNumberFormat="1" applyFont="1" applyFill="1" applyBorder="1" applyAlignment="1">
      <x:alignment vertical="center" wrapText="1"/>
    </x:xf>
    <x:xf numFmtId="0" fontId="19" fillId="8" borderId="0" xfId="0" applyNumberFormat="1" applyFont="1" applyFill="1" applyBorder="1" applyAlignment="1">
      <x:alignment vertical="center"/>
    </x:xf>
    <x:xf numFmtId="0" fontId="19" fillId="8" borderId="40" xfId="0" applyNumberFormat="1" applyFont="1" applyFill="1" applyBorder="1" applyAlignment="1">
      <x:alignment vertical="center"/>
    </x:xf>
    <x:xf numFmtId="0" fontId="19" fillId="8" borderId="41" xfId="0" applyNumberFormat="1" applyFont="1" applyFill="1" applyBorder="1" applyAlignment="1">
      <x:alignment vertical="center"/>
    </x:xf>
    <x:xf numFmtId="0" fontId="19" fillId="8" borderId="42" xfId="0" applyNumberFormat="1" applyFont="1" applyFill="1" applyBorder="1" applyAlignment="1">
      <x:alignment vertical="center"/>
    </x:xf>
    <x:xf numFmtId="0" fontId="19" fillId="8" borderId="40" xfId="0" applyNumberFormat="1" applyFont="1" applyFill="1" applyBorder="1" applyAlignment="1">
      <x:alignment horizontal="center" vertical="center"/>
    </x:xf>
    <x:xf numFmtId="0" fontId="19" fillId="8" borderId="41" xfId="0" applyNumberFormat="1" applyFont="1" applyFill="1" applyBorder="1" applyAlignment="1">
      <x:alignment horizontal="center" vertical="center"/>
    </x:xf>
    <x:xf numFmtId="0" fontId="19" fillId="8" borderId="42" xfId="0" applyNumberFormat="1" applyFont="1" applyFill="1" applyBorder="1" applyAlignment="1">
      <x:alignment horizontal="center" vertical="center"/>
    </x:xf>
    <x:xf numFmtId="0" fontId="5" fillId="3" borderId="2" xfId="0" applyNumberFormat="1" applyFont="1" applyFill="1" applyBorder="1" applyAlignment="1">
      <x:alignment vertical="center"/>
    </x:xf>
    <x:xf numFmtId="0" fontId="10" fillId="3" borderId="2" xfId="0" applyNumberFormat="1" applyFont="1" applyFill="1" applyBorder="1" applyAlignment="1">
      <x:alignment vertical="center"/>
    </x:xf>
    <x:xf numFmtId="0" fontId="10" fillId="3" borderId="11" xfId="0" applyNumberFormat="1" applyFont="1" applyFill="1" applyBorder="1" applyAlignment="1">
      <x:alignment vertical="center"/>
    </x:xf>
    <x:xf numFmtId="211" fontId="10" fillId="3" borderId="11" xfId="0" applyNumberFormat="1" applyFont="1" applyFill="1" applyBorder="1" applyAlignment="1">
      <x:alignment vertical="center"/>
    </x:xf>
    <x:xf numFmtId="203" fontId="10" fillId="3" borderId="11" xfId="0" applyNumberFormat="1" applyFont="1" applyFill="1" applyBorder="1" applyAlignment="1">
      <x:alignment vertical="center"/>
    </x:xf>
    <x:xf numFmtId="205" fontId="10" fillId="3" borderId="11" xfId="0" applyNumberFormat="1" applyFont="1" applyFill="1" applyBorder="1" applyAlignment="1">
      <x:alignment vertical="center"/>
    </x:xf>
    <x:xf numFmtId="201" fontId="10" fillId="3" borderId="11" xfId="0" applyNumberFormat="1" applyFont="1" applyFill="1" applyBorder="1" applyAlignment="1">
      <x:alignment vertical="center"/>
    </x:xf>
    <x:xf numFmtId="216" fontId="10" fillId="3" borderId="11" xfId="0" applyNumberFormat="1" applyFont="1" applyFill="1" applyBorder="1" applyAlignment="1">
      <x:alignment vertical="center"/>
    </x:xf>
    <x:xf numFmtId="217" fontId="5" fillId="0" borderId="2" xfId="0" applyNumberFormat="1" applyFont="1" applyFill="1" applyBorder="1" applyAlignment="1">
      <x:alignment vertical="center"/>
    </x:xf>
    <x:xf numFmtId="0" fontId="5" fillId="8" borderId="2" xfId="0" applyNumberFormat="1" applyFont="1" applyFill="1" applyBorder="1" applyAlignment="1">
      <x:alignment vertical="center"/>
    </x:xf>
    <x:xf numFmtId="205" fontId="5" fillId="8" borderId="2" xfId="0" applyNumberFormat="1" applyFont="1" applyFill="1" applyBorder="1" applyAlignment="1">
      <x:alignment vertical="center"/>
    </x:xf>
    <x:xf numFmtId="209" fontId="5" fillId="8" borderId="2" xfId="0" applyNumberFormat="1" applyFont="1" applyFill="1" applyBorder="1" applyAlignment="1">
      <x:alignment vertical="center"/>
    </x:xf>
    <x:xf numFmtId="201" fontId="5" fillId="8" borderId="2" xfId="0" applyNumberFormat="1" applyFont="1" applyFill="1" applyBorder="1" applyAlignment="1">
      <x:alignment vertical="center"/>
    </x:xf>
    <x:xf numFmtId="210" fontId="5" fillId="8" borderId="2" xfId="0" applyNumberFormat="1" applyFont="1" applyFill="1" applyBorder="1" applyAlignment="1">
      <x:alignment vertical="center"/>
    </x:xf>
    <x:xf numFmtId="211" fontId="5" fillId="8" borderId="2" xfId="0" applyNumberFormat="1" applyFont="1" applyFill="1" applyBorder="1" applyAlignment="1">
      <x:alignment vertical="center"/>
    </x:xf>
    <x:xf numFmtId="216" fontId="5" fillId="8" borderId="2" xfId="0" applyNumberFormat="1" applyFont="1" applyFill="1" applyBorder="1" applyAlignment="1">
      <x:alignment vertical="center"/>
    </x:xf>
    <x:xf numFmtId="0" fontId="1" fillId="0" borderId="2" xfId="0" applyNumberFormat="1" applyFont="1" applyFill="1" applyBorder="1" applyAlignment="1">
      <x:alignment vertical="center"/>
    </x:xf>
    <x:xf numFmtId="0" fontId="20" fillId="6" borderId="0" xfId="0" applyNumberFormat="1" applyFont="1" applyFill="1" applyBorder="1" applyAlignment="1">
      <x:alignment vertical="center"/>
    </x:xf>
    <x:xf numFmtId="0" fontId="20" fillId="6" borderId="43" xfId="0" applyNumberFormat="1" applyFont="1" applyFill="1" applyBorder="1" applyAlignment="1">
      <x:alignment vertical="center"/>
    </x:xf>
    <x:xf numFmtId="0" fontId="20" fillId="6" borderId="43" xfId="0" applyNumberFormat="1" applyFont="1" applyFill="1" applyBorder="1" applyAlignment="1">
      <x:alignment vertical="center" wrapText="1"/>
    </x:xf>
    <x:xf numFmtId="0" fontId="20" fillId="6" borderId="43" xfId="0" applyNumberFormat="1" applyFont="1" applyFill="1" applyBorder="1" applyAlignment="1">
      <x:alignment horizontal="center" vertical="center" wrapText="1"/>
    </x:xf>
    <x:xf numFmtId="0" fontId="10" fillId="8" borderId="0" xfId="0" applyNumberFormat="1" applyFont="1" applyFill="1" applyBorder="1" applyAlignment="1">
      <x:alignment vertical="center"/>
    </x:xf>
    <x:xf numFmtId="0" fontId="10" fillId="8" borderId="2" xfId="0" applyNumberFormat="1" applyFont="1" applyFill="1" applyBorder="1" applyAlignment="1">
      <x:alignment vertical="center"/>
    </x:xf>
    <x:xf numFmtId="0" fontId="10" fillId="8" borderId="2" xfId="0" applyNumberFormat="1" applyFont="1" applyFill="1" applyBorder="1" applyAlignment="1">
      <x:alignment vertical="center" wrapText="1"/>
    </x:xf>
    <x:xf numFmtId="0" fontId="21" fillId="7" borderId="0" xfId="0" applyNumberFormat="1" applyFont="1" applyFill="1" applyBorder="1" applyAlignment="1">
      <x:alignment vertical="center"/>
    </x:xf>
    <x:xf numFmtId="0" fontId="21" fillId="7" borderId="44" xfId="0" applyNumberFormat="1" applyFont="1" applyFill="1" applyBorder="1" applyAlignment="1">
      <x:alignment vertical="center"/>
    </x:xf>
    <x:xf numFmtId="0" fontId="21" fillId="7" borderId="45" xfId="0" applyNumberFormat="1" applyFont="1" applyFill="1" applyBorder="1" applyAlignment="1">
      <x:alignment vertical="center"/>
    </x:xf>
    <x:xf numFmtId="0" fontId="21" fillId="7" borderId="46" xfId="0" applyNumberFormat="1" applyFont="1" applyFill="1" applyBorder="1" applyAlignment="1">
      <x:alignment vertical="center"/>
    </x:xf>
    <x:xf numFmtId="0" fontId="21" fillId="7" borderId="47" xfId="0" applyNumberFormat="1" applyFont="1" applyFill="1" applyBorder="1" applyAlignment="1">
      <x:alignment vertical="center"/>
    </x:xf>
    <x:xf numFmtId="0" fontId="21" fillId="7" borderId="48" xfId="0" applyNumberFormat="1" applyFont="1" applyFill="1" applyBorder="1" applyAlignment="1">
      <x:alignment vertical="center"/>
    </x:xf>
    <x:xf numFmtId="0" fontId="21" fillId="7" borderId="49" xfId="0" applyNumberFormat="1" applyFont="1" applyFill="1" applyBorder="1" applyAlignment="1">
      <x:alignment vertical="center"/>
    </x:xf>
    <x:xf numFmtId="0" fontId="21" fillId="7" borderId="50" xfId="0" applyNumberFormat="1" applyFont="1" applyFill="1" applyBorder="1" applyAlignment="1">
      <x:alignment vertical="center"/>
    </x:xf>
    <x:xf numFmtId="0" fontId="21" fillId="7" borderId="51" xfId="0" applyNumberFormat="1" applyFont="1" applyFill="1" applyBorder="1" applyAlignment="1">
      <x:alignment vertical="center"/>
    </x:xf>
    <x:xf numFmtId="208" fontId="21" fillId="7" borderId="44" xfId="0" applyNumberFormat="1" applyFont="1" applyFill="1" applyBorder="1" applyAlignment="1">
      <x:alignment vertical="center"/>
    </x:xf>
    <x:xf numFmtId="208" fontId="21" fillId="7" borderId="45" xfId="0" applyNumberFormat="1" applyFont="1" applyFill="1" applyBorder="1" applyAlignment="1">
      <x:alignment vertical="center"/>
    </x:xf>
    <x:xf numFmtId="208" fontId="21" fillId="7" borderId="46" xfId="0" applyNumberFormat="1" applyFont="1" applyFill="1" applyBorder="1" applyAlignment="1">
      <x:alignment vertical="center"/>
    </x:xf>
    <x:xf numFmtId="208" fontId="21" fillId="7" borderId="47" xfId="0" applyNumberFormat="1" applyFont="1" applyFill="1" applyBorder="1" applyAlignment="1">
      <x:alignment vertical="center"/>
    </x:xf>
    <x:xf numFmtId="208" fontId="21" fillId="7" borderId="0" xfId="0" applyNumberFormat="1" applyFont="1" applyFill="1" applyBorder="1" applyAlignment="1">
      <x:alignment vertical="center"/>
    </x:xf>
    <x:xf numFmtId="208" fontId="21" fillId="7" borderId="48" xfId="0" applyNumberFormat="1" applyFont="1" applyFill="1" applyBorder="1" applyAlignment="1">
      <x:alignment vertical="center"/>
    </x:xf>
    <x:xf numFmtId="208" fontId="21" fillId="7" borderId="49" xfId="0" applyNumberFormat="1" applyFont="1" applyFill="1" applyBorder="1" applyAlignment="1">
      <x:alignment vertical="center"/>
    </x:xf>
    <x:xf numFmtId="208" fontId="21" fillId="7" borderId="50" xfId="0" applyNumberFormat="1" applyFont="1" applyFill="1" applyBorder="1" applyAlignment="1">
      <x:alignment vertical="center"/>
    </x:xf>
    <x:xf numFmtId="208" fontId="21" fillId="7" borderId="51" xfId="0" applyNumberFormat="1" applyFont="1" applyFill="1" applyBorder="1" applyAlignment="1">
      <x:alignment vertical="center"/>
    </x:xf>
    <x:xf numFmtId="208" fontId="21" fillId="7" borderId="44" xfId="0" applyNumberFormat="1" applyFont="1" applyFill="1" applyBorder="1" applyAlignment="1">
      <x:alignment vertical="center" wrapText="1"/>
    </x:xf>
    <x:xf numFmtId="208" fontId="21" fillId="7" borderId="45" xfId="0" applyNumberFormat="1" applyFont="1" applyFill="1" applyBorder="1" applyAlignment="1">
      <x:alignment vertical="center" wrapText="1"/>
    </x:xf>
    <x:xf numFmtId="208" fontId="21" fillId="7" borderId="46" xfId="0" applyNumberFormat="1" applyFont="1" applyFill="1" applyBorder="1" applyAlignment="1">
      <x:alignment vertical="center" wrapText="1"/>
    </x:xf>
    <x:xf numFmtId="208" fontId="21" fillId="7" borderId="47" xfId="0" applyNumberFormat="1" applyFont="1" applyFill="1" applyBorder="1" applyAlignment="1">
      <x:alignment vertical="center" wrapText="1"/>
    </x:xf>
    <x:xf numFmtId="208" fontId="21" fillId="7" borderId="0" xfId="0" applyNumberFormat="1" applyFont="1" applyFill="1" applyBorder="1" applyAlignment="1">
      <x:alignment vertical="center" wrapText="1"/>
    </x:xf>
    <x:xf numFmtId="208" fontId="21" fillId="7" borderId="48" xfId="0" applyNumberFormat="1" applyFont="1" applyFill="1" applyBorder="1" applyAlignment="1">
      <x:alignment vertical="center" wrapText="1"/>
    </x:xf>
    <x:xf numFmtId="208" fontId="21" fillId="7" borderId="49" xfId="0" applyNumberFormat="1" applyFont="1" applyFill="1" applyBorder="1" applyAlignment="1">
      <x:alignment vertical="center" wrapText="1"/>
    </x:xf>
    <x:xf numFmtId="208" fontId="21" fillId="7" borderId="50" xfId="0" applyNumberFormat="1" applyFont="1" applyFill="1" applyBorder="1" applyAlignment="1">
      <x:alignment vertical="center" wrapText="1"/>
    </x:xf>
    <x:xf numFmtId="208" fontId="21" fillId="7" borderId="51" xfId="0" applyNumberFormat="1" applyFont="1" applyFill="1" applyBorder="1" applyAlignment="1">
      <x:alignment vertical="center" wrapText="1"/>
    </x:xf>
    <x:xf numFmtId="208" fontId="21" fillId="7" borderId="44" xfId="0" applyNumberFormat="1" applyFont="1" applyFill="1" applyBorder="1" applyAlignment="1">
      <x:alignment horizontal="center" vertical="center" wrapText="1"/>
    </x:xf>
    <x:xf numFmtId="208" fontId="21" fillId="7" borderId="45" xfId="0" applyNumberFormat="1" applyFont="1" applyFill="1" applyBorder="1" applyAlignment="1">
      <x:alignment horizontal="center" vertical="center" wrapText="1"/>
    </x:xf>
    <x:xf numFmtId="208" fontId="21" fillId="7" borderId="46" xfId="0" applyNumberFormat="1" applyFont="1" applyFill="1" applyBorder="1" applyAlignment="1">
      <x:alignment horizontal="center" vertical="center" wrapText="1"/>
    </x:xf>
    <x:xf numFmtId="208" fontId="21" fillId="7" borderId="47" xfId="0" applyNumberFormat="1" applyFont="1" applyFill="1" applyBorder="1" applyAlignment="1">
      <x:alignment horizontal="center" vertical="center" wrapText="1"/>
    </x:xf>
    <x:xf numFmtId="208" fontId="21" fillId="7" borderId="0" xfId="0" applyNumberFormat="1" applyFont="1" applyFill="1" applyBorder="1" applyAlignment="1">
      <x:alignment horizontal="center" vertical="center" wrapText="1"/>
    </x:xf>
    <x:xf numFmtId="208" fontId="21" fillId="7" borderId="48" xfId="0" applyNumberFormat="1" applyFont="1" applyFill="1" applyBorder="1" applyAlignment="1">
      <x:alignment horizontal="center" vertical="center" wrapText="1"/>
    </x:xf>
    <x:xf numFmtId="208" fontId="21" fillId="7" borderId="49" xfId="0" applyNumberFormat="1" applyFont="1" applyFill="1" applyBorder="1" applyAlignment="1">
      <x:alignment horizontal="center" vertical="center" wrapText="1"/>
    </x:xf>
    <x:xf numFmtId="208" fontId="21" fillId="7" borderId="50" xfId="0" applyNumberFormat="1" applyFont="1" applyFill="1" applyBorder="1" applyAlignment="1">
      <x:alignment horizontal="center" vertical="center" wrapText="1"/>
    </x:xf>
    <x:xf numFmtId="208" fontId="21" fillId="7" borderId="51" xfId="0" applyNumberFormat="1" applyFont="1" applyFill="1" applyBorder="1" applyAlignment="1">
      <x:alignment horizontal="center" vertical="center" wrapText="1"/>
    </x:xf>
    <x:xf numFmtId="0" fontId="22" fillId="4" borderId="0" xfId="0" applyNumberFormat="1" applyFont="1" applyFill="1" applyBorder="1" applyAlignment="1">
      <x:alignment vertical="center"/>
    </x:xf>
    <x:xf numFmtId="0" fontId="22" fillId="4" borderId="44" xfId="0" applyNumberFormat="1" applyFont="1" applyFill="1" applyBorder="1" applyAlignment="1">
      <x:alignment vertical="center"/>
    </x:xf>
    <x:xf numFmtId="0" fontId="22" fillId="4" borderId="45" xfId="0" applyNumberFormat="1" applyFont="1" applyFill="1" applyBorder="1" applyAlignment="1">
      <x:alignment vertical="center"/>
    </x:xf>
    <x:xf numFmtId="0" fontId="22" fillId="4" borderId="46" xfId="0" applyNumberFormat="1" applyFont="1" applyFill="1" applyBorder="1" applyAlignment="1">
      <x:alignment vertical="center"/>
    </x:xf>
    <x:xf numFmtId="0" fontId="22" fillId="4" borderId="47" xfId="0" applyNumberFormat="1" applyFont="1" applyFill="1" applyBorder="1" applyAlignment="1">
      <x:alignment vertical="center"/>
    </x:xf>
    <x:xf numFmtId="0" fontId="22" fillId="4" borderId="48" xfId="0" applyNumberFormat="1" applyFont="1" applyFill="1" applyBorder="1" applyAlignment="1">
      <x:alignment vertical="center"/>
    </x:xf>
    <x:xf numFmtId="0" fontId="22" fillId="4" borderId="49" xfId="0" applyNumberFormat="1" applyFont="1" applyFill="1" applyBorder="1" applyAlignment="1">
      <x:alignment vertical="center"/>
    </x:xf>
    <x:xf numFmtId="0" fontId="22" fillId="4" borderId="50" xfId="0" applyNumberFormat="1" applyFont="1" applyFill="1" applyBorder="1" applyAlignment="1">
      <x:alignment vertical="center"/>
    </x:xf>
    <x:xf numFmtId="0" fontId="22" fillId="4" borderId="51" xfId="0" applyNumberFormat="1" applyFont="1" applyFill="1" applyBorder="1" applyAlignment="1">
      <x:alignment vertical="center"/>
    </x:xf>
    <x:xf numFmtId="218" fontId="22" fillId="4" borderId="44" xfId="0" applyNumberFormat="1" applyFont="1" applyFill="1" applyBorder="1" applyAlignment="1">
      <x:alignment vertical="center"/>
    </x:xf>
    <x:xf numFmtId="218" fontId="22" fillId="4" borderId="45" xfId="0" applyNumberFormat="1" applyFont="1" applyFill="1" applyBorder="1" applyAlignment="1">
      <x:alignment vertical="center"/>
    </x:xf>
    <x:xf numFmtId="218" fontId="22" fillId="4" borderId="46" xfId="0" applyNumberFormat="1" applyFont="1" applyFill="1" applyBorder="1" applyAlignment="1">
      <x:alignment vertical="center"/>
    </x:xf>
    <x:xf numFmtId="218" fontId="22" fillId="4" borderId="47" xfId="0" applyNumberFormat="1" applyFont="1" applyFill="1" applyBorder="1" applyAlignment="1">
      <x:alignment vertical="center"/>
    </x:xf>
    <x:xf numFmtId="218" fontId="22" fillId="4" borderId="0" xfId="0" applyNumberFormat="1" applyFont="1" applyFill="1" applyBorder="1" applyAlignment="1">
      <x:alignment vertical="center"/>
    </x:xf>
    <x:xf numFmtId="218" fontId="22" fillId="4" borderId="48" xfId="0" applyNumberFormat="1" applyFont="1" applyFill="1" applyBorder="1" applyAlignment="1">
      <x:alignment vertical="center"/>
    </x:xf>
    <x:xf numFmtId="218" fontId="22" fillId="4" borderId="49" xfId="0" applyNumberFormat="1" applyFont="1" applyFill="1" applyBorder="1" applyAlignment="1">
      <x:alignment vertical="center"/>
    </x:xf>
    <x:xf numFmtId="218" fontId="22" fillId="4" borderId="50" xfId="0" applyNumberFormat="1" applyFont="1" applyFill="1" applyBorder="1" applyAlignment="1">
      <x:alignment vertical="center"/>
    </x:xf>
    <x:xf numFmtId="218" fontId="22" fillId="4" borderId="51" xfId="0" applyNumberFormat="1" applyFont="1" applyFill="1" applyBorder="1" applyAlignment="1">
      <x:alignment vertical="center"/>
    </x:xf>
    <x:xf numFmtId="218" fontId="22" fillId="4" borderId="44" xfId="0" applyNumberFormat="1" applyFont="1" applyFill="1" applyBorder="1" applyAlignment="1">
      <x:alignment vertical="center" wrapText="1"/>
    </x:xf>
    <x:xf numFmtId="218" fontId="22" fillId="4" borderId="45" xfId="0" applyNumberFormat="1" applyFont="1" applyFill="1" applyBorder="1" applyAlignment="1">
      <x:alignment vertical="center" wrapText="1"/>
    </x:xf>
    <x:xf numFmtId="218" fontId="22" fillId="4" borderId="46" xfId="0" applyNumberFormat="1" applyFont="1" applyFill="1" applyBorder="1" applyAlignment="1">
      <x:alignment vertical="center" wrapText="1"/>
    </x:xf>
    <x:xf numFmtId="218" fontId="22" fillId="4" borderId="47" xfId="0" applyNumberFormat="1" applyFont="1" applyFill="1" applyBorder="1" applyAlignment="1">
      <x:alignment vertical="center" wrapText="1"/>
    </x:xf>
    <x:xf numFmtId="218" fontId="22" fillId="4" borderId="0" xfId="0" applyNumberFormat="1" applyFont="1" applyFill="1" applyBorder="1" applyAlignment="1">
      <x:alignment vertical="center" wrapText="1"/>
    </x:xf>
    <x:xf numFmtId="218" fontId="22" fillId="4" borderId="48" xfId="0" applyNumberFormat="1" applyFont="1" applyFill="1" applyBorder="1" applyAlignment="1">
      <x:alignment vertical="center" wrapText="1"/>
    </x:xf>
    <x:xf numFmtId="218" fontId="22" fillId="4" borderId="49" xfId="0" applyNumberFormat="1" applyFont="1" applyFill="1" applyBorder="1" applyAlignment="1">
      <x:alignment vertical="center" wrapText="1"/>
    </x:xf>
    <x:xf numFmtId="218" fontId="22" fillId="4" borderId="50" xfId="0" applyNumberFormat="1" applyFont="1" applyFill="1" applyBorder="1" applyAlignment="1">
      <x:alignment vertical="center" wrapText="1"/>
    </x:xf>
    <x:xf numFmtId="218" fontId="22" fillId="4" borderId="51" xfId="0" applyNumberFormat="1" applyFont="1" applyFill="1" applyBorder="1" applyAlignment="1">
      <x:alignment vertical="center" wrapText="1"/>
    </x:xf>
    <x:xf numFmtId="218" fontId="22" fillId="4" borderId="44" xfId="0" applyNumberFormat="1" applyFont="1" applyFill="1" applyBorder="1" applyAlignment="1">
      <x:alignment horizontal="center" vertical="center" wrapText="1"/>
    </x:xf>
    <x:xf numFmtId="218" fontId="22" fillId="4" borderId="45" xfId="0" applyNumberFormat="1" applyFont="1" applyFill="1" applyBorder="1" applyAlignment="1">
      <x:alignment horizontal="center" vertical="center" wrapText="1"/>
    </x:xf>
    <x:xf numFmtId="218" fontId="22" fillId="4" borderId="46" xfId="0" applyNumberFormat="1" applyFont="1" applyFill="1" applyBorder="1" applyAlignment="1">
      <x:alignment horizontal="center" vertical="center" wrapText="1"/>
    </x:xf>
    <x:xf numFmtId="218" fontId="22" fillId="4" borderId="47" xfId="0" applyNumberFormat="1" applyFont="1" applyFill="1" applyBorder="1" applyAlignment="1">
      <x:alignment horizontal="center" vertical="center" wrapText="1"/>
    </x:xf>
    <x:xf numFmtId="218" fontId="22" fillId="4" borderId="0" xfId="0" applyNumberFormat="1" applyFont="1" applyFill="1" applyBorder="1" applyAlignment="1">
      <x:alignment horizontal="center" vertical="center" wrapText="1"/>
    </x:xf>
    <x:xf numFmtId="218" fontId="22" fillId="4" borderId="48" xfId="0" applyNumberFormat="1" applyFont="1" applyFill="1" applyBorder="1" applyAlignment="1">
      <x:alignment horizontal="center" vertical="center" wrapText="1"/>
    </x:xf>
    <x:xf numFmtId="218" fontId="22" fillId="4" borderId="49" xfId="0" applyNumberFormat="1" applyFont="1" applyFill="1" applyBorder="1" applyAlignment="1">
      <x:alignment horizontal="center" vertical="center" wrapText="1"/>
    </x:xf>
    <x:xf numFmtId="218" fontId="22" fillId="4" borderId="50" xfId="0" applyNumberFormat="1" applyFont="1" applyFill="1" applyBorder="1" applyAlignment="1">
      <x:alignment horizontal="center" vertical="center" wrapText="1"/>
    </x:xf>
    <x:xf numFmtId="218" fontId="22" fillId="4" borderId="51" xfId="0" applyNumberFormat="1" applyFont="1" applyFill="1" applyBorder="1" applyAlignment="1">
      <x:alignment horizontal="center" vertical="center" wrapText="1"/>
    </x:xf>
    <x:xf numFmtId="0" fontId="23" fillId="6" borderId="0" xfId="0" applyNumberFormat="1" applyFont="1" applyFill="1" applyBorder="1" applyAlignment="1">
      <x:alignment vertical="center"/>
    </x:xf>
    <x:xf numFmtId="0" fontId="23" fillId="6" borderId="52" xfId="0" applyNumberFormat="1" applyFont="1" applyFill="1" applyBorder="1" applyAlignment="1">
      <x:alignment vertical="center"/>
    </x:xf>
    <x:xf numFmtId="0" fontId="23" fillId="6" borderId="53" xfId="0" applyNumberFormat="1" applyFont="1" applyFill="1" applyBorder="1" applyAlignment="1">
      <x:alignment vertical="center"/>
    </x:xf>
    <x:xf numFmtId="0" fontId="23" fillId="6" borderId="54" xfId="0" applyNumberFormat="1" applyFont="1" applyFill="1" applyBorder="1" applyAlignment="1">
      <x:alignment vertical="center"/>
    </x:xf>
    <x:xf numFmtId="0" fontId="23" fillId="6" borderId="55" xfId="0" applyNumberFormat="1" applyFont="1" applyFill="1" applyBorder="1" applyAlignment="1">
      <x:alignment vertical="center"/>
    </x:xf>
    <x:xf numFmtId="0" fontId="23" fillId="6" borderId="56" xfId="0" applyNumberFormat="1" applyFont="1" applyFill="1" applyBorder="1" applyAlignment="1">
      <x:alignment vertical="center"/>
    </x:xf>
    <x:xf numFmtId="0" fontId="23" fillId="6" borderId="57" xfId="0" applyNumberFormat="1" applyFont="1" applyFill="1" applyBorder="1" applyAlignment="1">
      <x:alignment vertical="center"/>
    </x:xf>
    <x:xf numFmtId="0" fontId="23" fillId="6" borderId="58" xfId="0" applyNumberFormat="1" applyFont="1" applyFill="1" applyBorder="1" applyAlignment="1">
      <x:alignment vertical="center"/>
    </x:xf>
    <x:xf numFmtId="0" fontId="23" fillId="6" borderId="59" xfId="0" applyNumberFormat="1" applyFont="1" applyFill="1" applyBorder="1" applyAlignment="1">
      <x:alignment vertical="center"/>
    </x:xf>
    <x:xf numFmtId="210" fontId="23" fillId="6" borderId="52" xfId="0" applyNumberFormat="1" applyFont="1" applyFill="1" applyBorder="1" applyAlignment="1">
      <x:alignment vertical="center"/>
    </x:xf>
    <x:xf numFmtId="210" fontId="23" fillId="6" borderId="53" xfId="0" applyNumberFormat="1" applyFont="1" applyFill="1" applyBorder="1" applyAlignment="1">
      <x:alignment vertical="center"/>
    </x:xf>
    <x:xf numFmtId="210" fontId="23" fillId="6" borderId="54" xfId="0" applyNumberFormat="1" applyFont="1" applyFill="1" applyBorder="1" applyAlignment="1">
      <x:alignment vertical="center"/>
    </x:xf>
    <x:xf numFmtId="210" fontId="23" fillId="6" borderId="55" xfId="0" applyNumberFormat="1" applyFont="1" applyFill="1" applyBorder="1" applyAlignment="1">
      <x:alignment vertical="center"/>
    </x:xf>
    <x:xf numFmtId="210" fontId="23" fillId="6" borderId="0" xfId="0" applyNumberFormat="1" applyFont="1" applyFill="1" applyBorder="1" applyAlignment="1">
      <x:alignment vertical="center"/>
    </x:xf>
    <x:xf numFmtId="210" fontId="23" fillId="6" borderId="56" xfId="0" applyNumberFormat="1" applyFont="1" applyFill="1" applyBorder="1" applyAlignment="1">
      <x:alignment vertical="center"/>
    </x:xf>
    <x:xf numFmtId="210" fontId="23" fillId="6" borderId="57" xfId="0" applyNumberFormat="1" applyFont="1" applyFill="1" applyBorder="1" applyAlignment="1">
      <x:alignment vertical="center"/>
    </x:xf>
    <x:xf numFmtId="210" fontId="23" fillId="6" borderId="58" xfId="0" applyNumberFormat="1" applyFont="1" applyFill="1" applyBorder="1" applyAlignment="1">
      <x:alignment vertical="center"/>
    </x:xf>
    <x:xf numFmtId="210" fontId="23" fillId="6" borderId="59" xfId="0" applyNumberFormat="1" applyFont="1" applyFill="1" applyBorder="1" applyAlignment="1">
      <x:alignment vertical="center"/>
    </x:xf>
    <x:xf numFmtId="210" fontId="23" fillId="6" borderId="52" xfId="0" applyNumberFormat="1" applyFont="1" applyFill="1" applyBorder="1" applyAlignment="1">
      <x:alignment vertical="center" wrapText="1"/>
    </x:xf>
    <x:xf numFmtId="210" fontId="23" fillId="6" borderId="53" xfId="0" applyNumberFormat="1" applyFont="1" applyFill="1" applyBorder="1" applyAlignment="1">
      <x:alignment vertical="center" wrapText="1"/>
    </x:xf>
    <x:xf numFmtId="210" fontId="23" fillId="6" borderId="54" xfId="0" applyNumberFormat="1" applyFont="1" applyFill="1" applyBorder="1" applyAlignment="1">
      <x:alignment vertical="center" wrapText="1"/>
    </x:xf>
    <x:xf numFmtId="210" fontId="23" fillId="6" borderId="55" xfId="0" applyNumberFormat="1" applyFont="1" applyFill="1" applyBorder="1" applyAlignment="1">
      <x:alignment vertical="center" wrapText="1"/>
    </x:xf>
    <x:xf numFmtId="210" fontId="23" fillId="6" borderId="0" xfId="0" applyNumberFormat="1" applyFont="1" applyFill="1" applyBorder="1" applyAlignment="1">
      <x:alignment vertical="center" wrapText="1"/>
    </x:xf>
    <x:xf numFmtId="210" fontId="23" fillId="6" borderId="56" xfId="0" applyNumberFormat="1" applyFont="1" applyFill="1" applyBorder="1" applyAlignment="1">
      <x:alignment vertical="center" wrapText="1"/>
    </x:xf>
    <x:xf numFmtId="210" fontId="23" fillId="6" borderId="57" xfId="0" applyNumberFormat="1" applyFont="1" applyFill="1" applyBorder="1" applyAlignment="1">
      <x:alignment vertical="center" wrapText="1"/>
    </x:xf>
    <x:xf numFmtId="210" fontId="23" fillId="6" borderId="58" xfId="0" applyNumberFormat="1" applyFont="1" applyFill="1" applyBorder="1" applyAlignment="1">
      <x:alignment vertical="center" wrapText="1"/>
    </x:xf>
    <x:xf numFmtId="210" fontId="23" fillId="6" borderId="59" xfId="0" applyNumberFormat="1" applyFont="1" applyFill="1" applyBorder="1" applyAlignment="1">
      <x:alignment vertical="center" wrapText="1"/>
    </x:xf>
    <x:xf numFmtId="210" fontId="23" fillId="6" borderId="52" xfId="0" applyNumberFormat="1" applyFont="1" applyFill="1" applyBorder="1" applyAlignment="1">
      <x:alignment horizontal="center" vertical="center" wrapText="1"/>
    </x:xf>
    <x:xf numFmtId="210" fontId="23" fillId="6" borderId="53" xfId="0" applyNumberFormat="1" applyFont="1" applyFill="1" applyBorder="1" applyAlignment="1">
      <x:alignment horizontal="center" vertical="center" wrapText="1"/>
    </x:xf>
    <x:xf numFmtId="210" fontId="23" fillId="6" borderId="54" xfId="0" applyNumberFormat="1" applyFont="1" applyFill="1" applyBorder="1" applyAlignment="1">
      <x:alignment horizontal="center" vertical="center" wrapText="1"/>
    </x:xf>
    <x:xf numFmtId="210" fontId="23" fillId="6" borderId="55" xfId="0" applyNumberFormat="1" applyFont="1" applyFill="1" applyBorder="1" applyAlignment="1">
      <x:alignment horizontal="center" vertical="center" wrapText="1"/>
    </x:xf>
    <x:xf numFmtId="210" fontId="23" fillId="6" borderId="0" xfId="0" applyNumberFormat="1" applyFont="1" applyFill="1" applyBorder="1" applyAlignment="1">
      <x:alignment horizontal="center" vertical="center" wrapText="1"/>
    </x:xf>
    <x:xf numFmtId="210" fontId="23" fillId="6" borderId="56" xfId="0" applyNumberFormat="1" applyFont="1" applyFill="1" applyBorder="1" applyAlignment="1">
      <x:alignment horizontal="center" vertical="center" wrapText="1"/>
    </x:xf>
    <x:xf numFmtId="210" fontId="23" fillId="6" borderId="57" xfId="0" applyNumberFormat="1" applyFont="1" applyFill="1" applyBorder="1" applyAlignment="1">
      <x:alignment horizontal="center" vertical="center" wrapText="1"/>
    </x:xf>
    <x:xf numFmtId="210" fontId="23" fillId="6" borderId="58" xfId="0" applyNumberFormat="1" applyFont="1" applyFill="1" applyBorder="1" applyAlignment="1">
      <x:alignment horizontal="center" vertical="center" wrapText="1"/>
    </x:xf>
    <x:xf numFmtId="210" fontId="23" fillId="6" borderId="59" xfId="0" applyNumberFormat="1" applyFont="1" applyFill="1" applyBorder="1" applyAlignment="1">
      <x:alignment horizontal="center" vertical="center" wrapText="1"/>
    </x:xf>
    <x:xf numFmtId="201" fontId="22" fillId="4" borderId="44" xfId="0" applyNumberFormat="1" applyFont="1" applyFill="1" applyBorder="1" applyAlignment="1">
      <x:alignment vertical="center"/>
    </x:xf>
    <x:xf numFmtId="201" fontId="22" fillId="4" borderId="45" xfId="0" applyNumberFormat="1" applyFont="1" applyFill="1" applyBorder="1" applyAlignment="1">
      <x:alignment vertical="center"/>
    </x:xf>
    <x:xf numFmtId="201" fontId="22" fillId="4" borderId="46" xfId="0" applyNumberFormat="1" applyFont="1" applyFill="1" applyBorder="1" applyAlignment="1">
      <x:alignment vertical="center"/>
    </x:xf>
    <x:xf numFmtId="201" fontId="22" fillId="4" borderId="47" xfId="0" applyNumberFormat="1" applyFont="1" applyFill="1" applyBorder="1" applyAlignment="1">
      <x:alignment vertical="center"/>
    </x:xf>
    <x:xf numFmtId="201" fontId="22" fillId="4" borderId="0" xfId="0" applyNumberFormat="1" applyFont="1" applyFill="1" applyBorder="1" applyAlignment="1">
      <x:alignment vertical="center"/>
    </x:xf>
    <x:xf numFmtId="201" fontId="22" fillId="4" borderId="48" xfId="0" applyNumberFormat="1" applyFont="1" applyFill="1" applyBorder="1" applyAlignment="1">
      <x:alignment vertical="center"/>
    </x:xf>
    <x:xf numFmtId="201" fontId="22" fillId="4" borderId="49" xfId="0" applyNumberFormat="1" applyFont="1" applyFill="1" applyBorder="1" applyAlignment="1">
      <x:alignment vertical="center"/>
    </x:xf>
    <x:xf numFmtId="201" fontId="22" fillId="4" borderId="50" xfId="0" applyNumberFormat="1" applyFont="1" applyFill="1" applyBorder="1" applyAlignment="1">
      <x:alignment vertical="center"/>
    </x:xf>
    <x:xf numFmtId="201" fontId="22" fillId="4" borderId="51" xfId="0" applyNumberFormat="1" applyFont="1" applyFill="1" applyBorder="1" applyAlignment="1">
      <x:alignment vertical="center"/>
    </x:xf>
    <x:xf numFmtId="201" fontId="22" fillId="4" borderId="44" xfId="0" applyNumberFormat="1" applyFont="1" applyFill="1" applyBorder="1" applyAlignment="1">
      <x:alignment vertical="center" wrapText="1"/>
    </x:xf>
    <x:xf numFmtId="201" fontId="22" fillId="4" borderId="45" xfId="0" applyNumberFormat="1" applyFont="1" applyFill="1" applyBorder="1" applyAlignment="1">
      <x:alignment vertical="center" wrapText="1"/>
    </x:xf>
    <x:xf numFmtId="201" fontId="22" fillId="4" borderId="46" xfId="0" applyNumberFormat="1" applyFont="1" applyFill="1" applyBorder="1" applyAlignment="1">
      <x:alignment vertical="center" wrapText="1"/>
    </x:xf>
    <x:xf numFmtId="201" fontId="22" fillId="4" borderId="47" xfId="0" applyNumberFormat="1" applyFont="1" applyFill="1" applyBorder="1" applyAlignment="1">
      <x:alignment vertical="center" wrapText="1"/>
    </x:xf>
    <x:xf numFmtId="201" fontId="22" fillId="4" borderId="0" xfId="0" applyNumberFormat="1" applyFont="1" applyFill="1" applyBorder="1" applyAlignment="1">
      <x:alignment vertical="center" wrapText="1"/>
    </x:xf>
    <x:xf numFmtId="201" fontId="22" fillId="4" borderId="48" xfId="0" applyNumberFormat="1" applyFont="1" applyFill="1" applyBorder="1" applyAlignment="1">
      <x:alignment vertical="center" wrapText="1"/>
    </x:xf>
    <x:xf numFmtId="201" fontId="22" fillId="4" borderId="49" xfId="0" applyNumberFormat="1" applyFont="1" applyFill="1" applyBorder="1" applyAlignment="1">
      <x:alignment vertical="center" wrapText="1"/>
    </x:xf>
    <x:xf numFmtId="201" fontId="22" fillId="4" borderId="50" xfId="0" applyNumberFormat="1" applyFont="1" applyFill="1" applyBorder="1" applyAlignment="1">
      <x:alignment vertical="center" wrapText="1"/>
    </x:xf>
    <x:xf numFmtId="201" fontId="22" fillId="4" borderId="51" xfId="0" applyNumberFormat="1" applyFont="1" applyFill="1" applyBorder="1" applyAlignment="1">
      <x:alignment vertical="center" wrapText="1"/>
    </x:xf>
    <x:xf numFmtId="201" fontId="22" fillId="4" borderId="44" xfId="0" applyNumberFormat="1" applyFont="1" applyFill="1" applyBorder="1" applyAlignment="1">
      <x:alignment horizontal="center" vertical="center" wrapText="1"/>
    </x:xf>
    <x:xf numFmtId="201" fontId="22" fillId="4" borderId="45" xfId="0" applyNumberFormat="1" applyFont="1" applyFill="1" applyBorder="1" applyAlignment="1">
      <x:alignment horizontal="center" vertical="center" wrapText="1"/>
    </x:xf>
    <x:xf numFmtId="201" fontId="22" fillId="4" borderId="46" xfId="0" applyNumberFormat="1" applyFont="1" applyFill="1" applyBorder="1" applyAlignment="1">
      <x:alignment horizontal="center" vertical="center" wrapText="1"/>
    </x:xf>
    <x:xf numFmtId="201" fontId="22" fillId="4" borderId="47" xfId="0" applyNumberFormat="1" applyFont="1" applyFill="1" applyBorder="1" applyAlignment="1">
      <x:alignment horizontal="center" vertical="center" wrapText="1"/>
    </x:xf>
    <x:xf numFmtId="201" fontId="22" fillId="4" borderId="0" xfId="0" applyNumberFormat="1" applyFont="1" applyFill="1" applyBorder="1" applyAlignment="1">
      <x:alignment horizontal="center" vertical="center" wrapText="1"/>
    </x:xf>
    <x:xf numFmtId="201" fontId="22" fillId="4" borderId="48" xfId="0" applyNumberFormat="1" applyFont="1" applyFill="1" applyBorder="1" applyAlignment="1">
      <x:alignment horizontal="center" vertical="center" wrapText="1"/>
    </x:xf>
    <x:xf numFmtId="201" fontId="22" fillId="4" borderId="49" xfId="0" applyNumberFormat="1" applyFont="1" applyFill="1" applyBorder="1" applyAlignment="1">
      <x:alignment horizontal="center" vertical="center" wrapText="1"/>
    </x:xf>
    <x:xf numFmtId="201" fontId="22" fillId="4" borderId="50" xfId="0" applyNumberFormat="1" applyFont="1" applyFill="1" applyBorder="1" applyAlignment="1">
      <x:alignment horizontal="center" vertical="center" wrapText="1"/>
    </x:xf>
    <x:xf numFmtId="201" fontId="22" fillId="4" borderId="51" xfId="0" applyNumberFormat="1" applyFont="1" applyFill="1" applyBorder="1" applyAlignment="1">
      <x:alignment horizontal="center" vertical="center" wrapText="1"/>
    </x:xf>
    <x:xf numFmtId="211" fontId="21" fillId="7" borderId="44" xfId="0" applyNumberFormat="1" applyFont="1" applyFill="1" applyBorder="1" applyAlignment="1">
      <x:alignment vertical="center"/>
    </x:xf>
    <x:xf numFmtId="211" fontId="21" fillId="7" borderId="45" xfId="0" applyNumberFormat="1" applyFont="1" applyFill="1" applyBorder="1" applyAlignment="1">
      <x:alignment vertical="center"/>
    </x:xf>
    <x:xf numFmtId="211" fontId="21" fillId="7" borderId="46" xfId="0" applyNumberFormat="1" applyFont="1" applyFill="1" applyBorder="1" applyAlignment="1">
      <x:alignment vertical="center"/>
    </x:xf>
    <x:xf numFmtId="211" fontId="21" fillId="7" borderId="47" xfId="0" applyNumberFormat="1" applyFont="1" applyFill="1" applyBorder="1" applyAlignment="1">
      <x:alignment vertical="center"/>
    </x:xf>
    <x:xf numFmtId="211" fontId="21" fillId="7" borderId="0" xfId="0" applyNumberFormat="1" applyFont="1" applyFill="1" applyBorder="1" applyAlignment="1">
      <x:alignment vertical="center"/>
    </x:xf>
    <x:xf numFmtId="211" fontId="21" fillId="7" borderId="48" xfId="0" applyNumberFormat="1" applyFont="1" applyFill="1" applyBorder="1" applyAlignment="1">
      <x:alignment vertical="center"/>
    </x:xf>
    <x:xf numFmtId="211" fontId="21" fillId="7" borderId="49" xfId="0" applyNumberFormat="1" applyFont="1" applyFill="1" applyBorder="1" applyAlignment="1">
      <x:alignment vertical="center"/>
    </x:xf>
    <x:xf numFmtId="211" fontId="21" fillId="7" borderId="50" xfId="0" applyNumberFormat="1" applyFont="1" applyFill="1" applyBorder="1" applyAlignment="1">
      <x:alignment vertical="center"/>
    </x:xf>
    <x:xf numFmtId="211" fontId="21" fillId="7" borderId="51" xfId="0" applyNumberFormat="1" applyFont="1" applyFill="1" applyBorder="1" applyAlignment="1">
      <x:alignment vertical="center"/>
    </x:xf>
    <x:xf numFmtId="211" fontId="21" fillId="7" borderId="44" xfId="0" applyNumberFormat="1" applyFont="1" applyFill="1" applyBorder="1" applyAlignment="1">
      <x:alignment vertical="center" wrapText="1"/>
    </x:xf>
    <x:xf numFmtId="211" fontId="21" fillId="7" borderId="45" xfId="0" applyNumberFormat="1" applyFont="1" applyFill="1" applyBorder="1" applyAlignment="1">
      <x:alignment vertical="center" wrapText="1"/>
    </x:xf>
    <x:xf numFmtId="211" fontId="21" fillId="7" borderId="46" xfId="0" applyNumberFormat="1" applyFont="1" applyFill="1" applyBorder="1" applyAlignment="1">
      <x:alignment vertical="center" wrapText="1"/>
    </x:xf>
    <x:xf numFmtId="211" fontId="21" fillId="7" borderId="47" xfId="0" applyNumberFormat="1" applyFont="1" applyFill="1" applyBorder="1" applyAlignment="1">
      <x:alignment vertical="center" wrapText="1"/>
    </x:xf>
    <x:xf numFmtId="211" fontId="21" fillId="7" borderId="0" xfId="0" applyNumberFormat="1" applyFont="1" applyFill="1" applyBorder="1" applyAlignment="1">
      <x:alignment vertical="center" wrapText="1"/>
    </x:xf>
    <x:xf numFmtId="211" fontId="21" fillId="7" borderId="48" xfId="0" applyNumberFormat="1" applyFont="1" applyFill="1" applyBorder="1" applyAlignment="1">
      <x:alignment vertical="center" wrapText="1"/>
    </x:xf>
    <x:xf numFmtId="211" fontId="21" fillId="7" borderId="49" xfId="0" applyNumberFormat="1" applyFont="1" applyFill="1" applyBorder="1" applyAlignment="1">
      <x:alignment vertical="center" wrapText="1"/>
    </x:xf>
    <x:xf numFmtId="211" fontId="21" fillId="7" borderId="50" xfId="0" applyNumberFormat="1" applyFont="1" applyFill="1" applyBorder="1" applyAlignment="1">
      <x:alignment vertical="center" wrapText="1"/>
    </x:xf>
    <x:xf numFmtId="211" fontId="21" fillId="7" borderId="51" xfId="0" applyNumberFormat="1" applyFont="1" applyFill="1" applyBorder="1" applyAlignment="1">
      <x:alignment vertical="center" wrapText="1"/>
    </x:xf>
    <x:xf numFmtId="211" fontId="21" fillId="7" borderId="44" xfId="0" applyNumberFormat="1" applyFont="1" applyFill="1" applyBorder="1" applyAlignment="1">
      <x:alignment horizontal="center" vertical="center" wrapText="1"/>
    </x:xf>
    <x:xf numFmtId="211" fontId="21" fillId="7" borderId="45" xfId="0" applyNumberFormat="1" applyFont="1" applyFill="1" applyBorder="1" applyAlignment="1">
      <x:alignment horizontal="center" vertical="center" wrapText="1"/>
    </x:xf>
    <x:xf numFmtId="211" fontId="21" fillId="7" borderId="46" xfId="0" applyNumberFormat="1" applyFont="1" applyFill="1" applyBorder="1" applyAlignment="1">
      <x:alignment horizontal="center" vertical="center" wrapText="1"/>
    </x:xf>
    <x:xf numFmtId="211" fontId="21" fillId="7" borderId="47" xfId="0" applyNumberFormat="1" applyFont="1" applyFill="1" applyBorder="1" applyAlignment="1">
      <x:alignment horizontal="center" vertical="center" wrapText="1"/>
    </x:xf>
    <x:xf numFmtId="211" fontId="21" fillId="7" borderId="0" xfId="0" applyNumberFormat="1" applyFont="1" applyFill="1" applyBorder="1" applyAlignment="1">
      <x:alignment horizontal="center" vertical="center" wrapText="1"/>
    </x:xf>
    <x:xf numFmtId="211" fontId="21" fillId="7" borderId="48" xfId="0" applyNumberFormat="1" applyFont="1" applyFill="1" applyBorder="1" applyAlignment="1">
      <x:alignment horizontal="center" vertical="center" wrapText="1"/>
    </x:xf>
    <x:xf numFmtId="211" fontId="21" fillId="7" borderId="49" xfId="0" applyNumberFormat="1" applyFont="1" applyFill="1" applyBorder="1" applyAlignment="1">
      <x:alignment horizontal="center" vertical="center" wrapText="1"/>
    </x:xf>
    <x:xf numFmtId="211" fontId="21" fillId="7" borderId="50" xfId="0" applyNumberFormat="1" applyFont="1" applyFill="1" applyBorder="1" applyAlignment="1">
      <x:alignment horizontal="center" vertical="center" wrapText="1"/>
    </x:xf>
    <x:xf numFmtId="211" fontId="21" fillId="7" borderId="51" xfId="0" applyNumberFormat="1" applyFont="1" applyFill="1" applyBorder="1" applyAlignment="1">
      <x:alignment horizontal="center" vertical="center" wrapText="1"/>
    </x:xf>
    <x:xf numFmtId="201" fontId="21" fillId="7" borderId="44" xfId="0" applyNumberFormat="1" applyFont="1" applyFill="1" applyBorder="1" applyAlignment="1">
      <x:alignment vertical="center"/>
    </x:xf>
    <x:xf numFmtId="201" fontId="21" fillId="7" borderId="45" xfId="0" applyNumberFormat="1" applyFont="1" applyFill="1" applyBorder="1" applyAlignment="1">
      <x:alignment vertical="center"/>
    </x:xf>
    <x:xf numFmtId="201" fontId="21" fillId="7" borderId="46" xfId="0" applyNumberFormat="1" applyFont="1" applyFill="1" applyBorder="1" applyAlignment="1">
      <x:alignment vertical="center"/>
    </x:xf>
    <x:xf numFmtId="201" fontId="21" fillId="7" borderId="47" xfId="0" applyNumberFormat="1" applyFont="1" applyFill="1" applyBorder="1" applyAlignment="1">
      <x:alignment vertical="center"/>
    </x:xf>
    <x:xf numFmtId="201" fontId="21" fillId="7" borderId="0" xfId="0" applyNumberFormat="1" applyFont="1" applyFill="1" applyBorder="1" applyAlignment="1">
      <x:alignment vertical="center"/>
    </x:xf>
    <x:xf numFmtId="201" fontId="21" fillId="7" borderId="48" xfId="0" applyNumberFormat="1" applyFont="1" applyFill="1" applyBorder="1" applyAlignment="1">
      <x:alignment vertical="center"/>
    </x:xf>
    <x:xf numFmtId="201" fontId="21" fillId="7" borderId="49" xfId="0" applyNumberFormat="1" applyFont="1" applyFill="1" applyBorder="1" applyAlignment="1">
      <x:alignment vertical="center"/>
    </x:xf>
    <x:xf numFmtId="201" fontId="21" fillId="7" borderId="50" xfId="0" applyNumberFormat="1" applyFont="1" applyFill="1" applyBorder="1" applyAlignment="1">
      <x:alignment vertical="center"/>
    </x:xf>
    <x:xf numFmtId="201" fontId="21" fillId="7" borderId="51" xfId="0" applyNumberFormat="1" applyFont="1" applyFill="1" applyBorder="1" applyAlignment="1">
      <x:alignment vertical="center"/>
    </x:xf>
    <x:xf numFmtId="201" fontId="21" fillId="7" borderId="44" xfId="0" applyNumberFormat="1" applyFont="1" applyFill="1" applyBorder="1" applyAlignment="1">
      <x:alignment vertical="center" wrapText="1"/>
    </x:xf>
    <x:xf numFmtId="201" fontId="21" fillId="7" borderId="45" xfId="0" applyNumberFormat="1" applyFont="1" applyFill="1" applyBorder="1" applyAlignment="1">
      <x:alignment vertical="center" wrapText="1"/>
    </x:xf>
    <x:xf numFmtId="201" fontId="21" fillId="7" borderId="46" xfId="0" applyNumberFormat="1" applyFont="1" applyFill="1" applyBorder="1" applyAlignment="1">
      <x:alignment vertical="center" wrapText="1"/>
    </x:xf>
    <x:xf numFmtId="201" fontId="21" fillId="7" borderId="47" xfId="0" applyNumberFormat="1" applyFont="1" applyFill="1" applyBorder="1" applyAlignment="1">
      <x:alignment vertical="center" wrapText="1"/>
    </x:xf>
    <x:xf numFmtId="201" fontId="21" fillId="7" borderId="0" xfId="0" applyNumberFormat="1" applyFont="1" applyFill="1" applyBorder="1" applyAlignment="1">
      <x:alignment vertical="center" wrapText="1"/>
    </x:xf>
    <x:xf numFmtId="201" fontId="21" fillId="7" borderId="48" xfId="0" applyNumberFormat="1" applyFont="1" applyFill="1" applyBorder="1" applyAlignment="1">
      <x:alignment vertical="center" wrapText="1"/>
    </x:xf>
    <x:xf numFmtId="201" fontId="21" fillId="7" borderId="49" xfId="0" applyNumberFormat="1" applyFont="1" applyFill="1" applyBorder="1" applyAlignment="1">
      <x:alignment vertical="center" wrapText="1"/>
    </x:xf>
    <x:xf numFmtId="201" fontId="21" fillId="7" borderId="50" xfId="0" applyNumberFormat="1" applyFont="1" applyFill="1" applyBorder="1" applyAlignment="1">
      <x:alignment vertical="center" wrapText="1"/>
    </x:xf>
    <x:xf numFmtId="201" fontId="21" fillId="7" borderId="51" xfId="0" applyNumberFormat="1" applyFont="1" applyFill="1" applyBorder="1" applyAlignment="1">
      <x:alignment vertical="center" wrapText="1"/>
    </x:xf>
    <x:xf numFmtId="201" fontId="21" fillId="7" borderId="44" xfId="0" applyNumberFormat="1" applyFont="1" applyFill="1" applyBorder="1" applyAlignment="1">
      <x:alignment horizontal="center" vertical="center" wrapText="1"/>
    </x:xf>
    <x:xf numFmtId="201" fontId="21" fillId="7" borderId="45" xfId="0" applyNumberFormat="1" applyFont="1" applyFill="1" applyBorder="1" applyAlignment="1">
      <x:alignment horizontal="center" vertical="center" wrapText="1"/>
    </x:xf>
    <x:xf numFmtId="201" fontId="21" fillId="7" borderId="46" xfId="0" applyNumberFormat="1" applyFont="1" applyFill="1" applyBorder="1" applyAlignment="1">
      <x:alignment horizontal="center" vertical="center" wrapText="1"/>
    </x:xf>
    <x:xf numFmtId="201" fontId="21" fillId="7" borderId="47" xfId="0" applyNumberFormat="1" applyFont="1" applyFill="1" applyBorder="1" applyAlignment="1">
      <x:alignment horizontal="center" vertical="center" wrapText="1"/>
    </x:xf>
    <x:xf numFmtId="201" fontId="21" fillId="7" borderId="0" xfId="0" applyNumberFormat="1" applyFont="1" applyFill="1" applyBorder="1" applyAlignment="1">
      <x:alignment horizontal="center" vertical="center" wrapText="1"/>
    </x:xf>
    <x:xf numFmtId="201" fontId="21" fillId="7" borderId="48" xfId="0" applyNumberFormat="1" applyFont="1" applyFill="1" applyBorder="1" applyAlignment="1">
      <x:alignment horizontal="center" vertical="center" wrapText="1"/>
    </x:xf>
    <x:xf numFmtId="201" fontId="21" fillId="7" borderId="49" xfId="0" applyNumberFormat="1" applyFont="1" applyFill="1" applyBorder="1" applyAlignment="1">
      <x:alignment horizontal="center" vertical="center" wrapText="1"/>
    </x:xf>
    <x:xf numFmtId="201" fontId="21" fillId="7" borderId="50" xfId="0" applyNumberFormat="1" applyFont="1" applyFill="1" applyBorder="1" applyAlignment="1">
      <x:alignment horizontal="center" vertical="center" wrapText="1"/>
    </x:xf>
    <x:xf numFmtId="201" fontId="21" fillId="7" borderId="51" xfId="0" applyNumberFormat="1" applyFont="1" applyFill="1" applyBorder="1" applyAlignment="1">
      <x:alignment horizontal="center" vertical="center" wrapText="1"/>
    </x:xf>
    <x:xf numFmtId="0" fontId="8" fillId="9" borderId="0" xfId="0" applyNumberFormat="1" applyFont="1" applyFill="1" applyBorder="1" applyAlignment="1">
      <x:alignment vertical="center"/>
    </x:xf>
    <x:xf numFmtId="0" fontId="8" fillId="9" borderId="0" xfId="0" applyNumberFormat="1" applyFont="1" applyFill="1" applyBorder="1" applyAlignment="1">
      <x:alignment horizontal="center" vertical="center"/>
    </x:xf>
    <x:xf numFmtId="0" fontId="19" fillId="7" borderId="0" xfId="0" applyNumberFormat="1" applyFont="1" applyFill="1" applyBorder="1" applyAlignment="1">
      <x:alignment vertical="center"/>
    </x:xf>
    <x:xf numFmtId="0" fontId="19" fillId="7" borderId="60" xfId="0" applyNumberFormat="1" applyFont="1" applyFill="1" applyBorder="1" applyAlignment="1">
      <x:alignment vertical="center"/>
    </x:xf>
    <x:xf numFmtId="0" fontId="19" fillId="7" borderId="61" xfId="0" applyNumberFormat="1" applyFont="1" applyFill="1" applyBorder="1" applyAlignment="1">
      <x:alignment vertical="center"/>
    </x:xf>
    <x:xf numFmtId="0" fontId="19" fillId="7" borderId="62" xfId="0" applyNumberFormat="1" applyFont="1" applyFill="1" applyBorder="1" applyAlignment="1">
      <x:alignment vertical="center"/>
    </x:xf>
    <x:xf numFmtId="0" fontId="19" fillId="7" borderId="60" xfId="0" applyNumberFormat="1" applyFont="1" applyFill="1" applyBorder="1" applyAlignment="1">
      <x:alignment horizontal="center" vertical="center"/>
    </x:xf>
    <x:xf numFmtId="0" fontId="19" fillId="7" borderId="61" xfId="0" applyNumberFormat="1" applyFont="1" applyFill="1" applyBorder="1" applyAlignment="1">
      <x:alignment horizontal="center" vertical="center"/>
    </x:xf>
    <x:xf numFmtId="0" fontId="19" fillId="7" borderId="62" xfId="0" applyNumberFormat="1" applyFont="1" applyFill="1" applyBorder="1" applyAlignment="1">
      <x:alignment horizontal="center" vertical="center"/>
    </x:xf>
    <x:xf numFmtId="0" fontId="19" fillId="8" borderId="63" xfId="0" applyNumberFormat="1" applyFont="1" applyFill="1" applyBorder="1" applyAlignment="1">
      <x:alignment vertical="center"/>
    </x:xf>
    <x:xf numFmtId="0" fontId="19" fillId="8" borderId="64" xfId="0" applyNumberFormat="1" applyFont="1" applyFill="1" applyBorder="1" applyAlignment="1">
      <x:alignment vertical="center"/>
    </x:xf>
    <x:xf numFmtId="0" fontId="19" fillId="8" borderId="65" xfId="0" applyNumberFormat="1" applyFont="1" applyFill="1" applyBorder="1" applyAlignment="1">
      <x:alignment vertical="center"/>
    </x:xf>
    <x:xf numFmtId="0" fontId="19" fillId="8" borderId="63" xfId="0" applyNumberFormat="1" applyFont="1" applyFill="1" applyBorder="1" applyAlignment="1">
      <x:alignment horizontal="center" vertical="center"/>
    </x:xf>
    <x:xf numFmtId="0" fontId="19" fillId="8" borderId="64" xfId="0" applyNumberFormat="1" applyFont="1" applyFill="1" applyBorder="1" applyAlignment="1">
      <x:alignment horizontal="center" vertical="center"/>
    </x:xf>
    <x:xf numFmtId="0" fontId="19" fillId="8" borderId="65" xfId="0" applyNumberFormat="1" applyFont="1" applyFill="1" applyBorder="1" applyAlignment="1">
      <x:alignment horizontal="center" vertical="center"/>
    </x:xf>
    <x:xf numFmtId="219" fontId="5" fillId="0" borderId="2" xfId="0" applyNumberFormat="1" applyFont="1" applyFill="1" applyBorder="1" applyAlignment="1">
      <x:alignment vertical="center"/>
    </x:xf>
    <x:xf numFmtId="201" fontId="5" fillId="3" borderId="2" xfId="0" applyNumberFormat="1" applyFont="1" applyFill="1" applyBorder="1" applyAlignment="1">
      <x:alignment vertical="center"/>
    </x:xf>
    <x:xf numFmtId="0" fontId="15" fillId="7" borderId="0" xfId="0" applyNumberFormat="1" applyFont="1" applyFill="1" applyBorder="1" applyAlignment="1">
      <x:alignment vertical="center"/>
    </x:xf>
    <x:xf numFmtId="0" fontId="15" fillId="7" borderId="16" xfId="0" applyNumberFormat="1" applyFont="1" applyFill="1" applyBorder="1" applyAlignment="1">
      <x:alignment vertical="center"/>
    </x:xf>
    <x:xf numFmtId="0" fontId="15" fillId="7" borderId="17" xfId="0" applyNumberFormat="1" applyFont="1" applyFill="1" applyBorder="1" applyAlignment="1">
      <x:alignment vertical="center"/>
    </x:xf>
    <x:xf numFmtId="0" fontId="15" fillId="7" borderId="18" xfId="0" applyNumberFormat="1" applyFont="1" applyFill="1" applyBorder="1" applyAlignment="1">
      <x:alignment vertical="center"/>
    </x:xf>
    <x:xf numFmtId="0" fontId="15" fillId="7" borderId="19" xfId="0" applyNumberFormat="1" applyFont="1" applyFill="1" applyBorder="1" applyAlignment="1">
      <x:alignment vertical="center"/>
    </x:xf>
    <x:xf numFmtId="0" fontId="15" fillId="7" borderId="20" xfId="0" applyNumberFormat="1" applyFont="1" applyFill="1" applyBorder="1" applyAlignment="1">
      <x:alignment vertical="center"/>
    </x:xf>
    <x:xf numFmtId="0" fontId="15" fillId="7" borderId="21" xfId="0" applyNumberFormat="1" applyFont="1" applyFill="1" applyBorder="1" applyAlignment="1">
      <x:alignment vertical="center"/>
    </x:xf>
    <x:xf numFmtId="0" fontId="15" fillId="7" borderId="22" xfId="0" applyNumberFormat="1" applyFont="1" applyFill="1" applyBorder="1" applyAlignment="1">
      <x:alignment vertical="center"/>
    </x:xf>
    <x:xf numFmtId="0" fontId="15" fillId="7" borderId="23" xfId="0" applyNumberFormat="1" applyFont="1" applyFill="1" applyBorder="1" applyAlignment="1">
      <x:alignment vertical="center"/>
    </x:xf>
    <x:xf numFmtId="0" fontId="15" fillId="7" borderId="16" xfId="0" applyNumberFormat="1" applyFont="1" applyFill="1" applyBorder="1" applyAlignment="1">
      <x:alignment horizontal="center" vertical="center"/>
    </x:xf>
    <x:xf numFmtId="0" fontId="15" fillId="7" borderId="17" xfId="0" applyNumberFormat="1" applyFont="1" applyFill="1" applyBorder="1" applyAlignment="1">
      <x:alignment horizontal="center" vertical="center"/>
    </x:xf>
    <x:xf numFmtId="0" fontId="15" fillId="7" borderId="18" xfId="0" applyNumberFormat="1" applyFont="1" applyFill="1" applyBorder="1" applyAlignment="1">
      <x:alignment horizontal="center" vertical="center"/>
    </x:xf>
    <x:xf numFmtId="0" fontId="15" fillId="7" borderId="19" xfId="0" applyNumberFormat="1" applyFont="1" applyFill="1" applyBorder="1" applyAlignment="1">
      <x:alignment horizontal="center" vertical="center"/>
    </x:xf>
    <x:xf numFmtId="0" fontId="15" fillId="7" borderId="0" xfId="0" applyNumberFormat="1" applyFont="1" applyFill="1" applyBorder="1" applyAlignment="1">
      <x:alignment horizontal="center" vertical="center"/>
    </x:xf>
    <x:xf numFmtId="0" fontId="15" fillId="7" borderId="20" xfId="0" applyNumberFormat="1" applyFont="1" applyFill="1" applyBorder="1" applyAlignment="1">
      <x:alignment horizontal="center" vertical="center"/>
    </x:xf>
    <x:xf numFmtId="0" fontId="15" fillId="7" borderId="21" xfId="0" applyNumberFormat="1" applyFont="1" applyFill="1" applyBorder="1" applyAlignment="1">
      <x:alignment horizontal="center" vertical="center"/>
    </x:xf>
    <x:xf numFmtId="0" fontId="15" fillId="7" borderId="22" xfId="0" applyNumberFormat="1" applyFont="1" applyFill="1" applyBorder="1" applyAlignment="1">
      <x:alignment horizontal="center" vertical="center"/>
    </x:xf>
    <x:xf numFmtId="0" fontId="15" fillId="7" borderId="23" xfId="0" applyNumberFormat="1" applyFont="1" applyFill="1" applyBorder="1" applyAlignment="1">
      <x:alignment horizontal="center" vertical="center"/>
    </x:xf>
    <x:xf numFmtId="0" fontId="19" fillId="8" borderId="66" xfId="0" applyNumberFormat="1" applyFont="1" applyFill="1" applyBorder="1" applyAlignment="1">
      <x:alignment vertical="center"/>
    </x:xf>
    <x:xf numFmtId="0" fontId="19" fillId="8" borderId="66" xfId="0" applyNumberFormat="1" applyFont="1" applyFill="1" applyBorder="1" applyAlignment="1">
      <x:alignment vertical="center" wrapText="1"/>
    </x:xf>
    <x:xf numFmtId="0" fontId="19" fillId="8" borderId="66" xfId="0" applyNumberFormat="1" applyFont="1" applyFill="1" applyBorder="1" applyAlignment="1">
      <x:alignment horizontal="center" vertical="center" wrapText="1"/>
    </x:xf>
    <x:xf numFmtId="0" fontId="20" fillId="6" borderId="43" xfId="0" applyNumberFormat="1" applyFont="1" applyFill="1" applyBorder="1" applyAlignment="1">
      <x:alignment horizontal="center" vertical="center"/>
    </x:xf>
    <x:xf numFmtId="0" fontId="10" fillId="3" borderId="15" xfId="0" applyNumberFormat="1" applyFont="1" applyFill="1" applyBorder="1" applyAlignment="1">
      <x:alignment vertical="center"/>
    </x:xf>
    <x:xf numFmtId="200" fontId="10" fillId="3" borderId="15" xfId="0" applyNumberFormat="1" applyFont="1" applyFill="1" applyBorder="1" applyAlignment="1">
      <x:alignment vertical="center"/>
    </x:xf>
    <x:xf numFmtId="219" fontId="10" fillId="3" borderId="15" xfId="0" applyNumberFormat="1" applyFont="1" applyFill="1" applyBorder="1" applyAlignment="1">
      <x:alignment vertical="center"/>
    </x:xf>
    <x:xf numFmtId="201" fontId="10" fillId="3" borderId="15" xfId="0" applyNumberFormat="1" applyFont="1" applyFill="1" applyBorder="1" applyAlignment="1">
      <x:alignment vertical="center"/>
    </x:xf>
    <x:xf numFmtId="210" fontId="10" fillId="3" borderId="15" xfId="0" applyNumberFormat="1" applyFont="1" applyFill="1" applyBorder="1" applyAlignment="1">
      <x:alignment vertical="center"/>
    </x:xf>
    <x:xf numFmtId="0" fontId="24" fillId="5" borderId="0" xfId="0" applyNumberFormat="1" applyFont="1" applyFill="1" applyBorder="1" applyAlignment="1">
      <x:alignment vertical="center"/>
    </x:xf>
    <x:xf numFmtId="0" fontId="24" fillId="5" borderId="0" xfId="0" applyNumberFormat="1" applyFont="1" applyFill="1" applyBorder="1" applyAlignment="1">
      <x:alignment horizontal="center" vertical="center"/>
    </x:xf>
    <x:xf numFmtId="0" fontId="6" fillId="3" borderId="0"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1" fillId="9" borderId="0" xfId="0" applyNumberFormat="1" applyFont="1" applyFill="1" applyBorder="1" applyAlignment="1">
      <x:alignment vertical="center" wrapText="1"/>
    </x:xf>
    <x:xf numFmtId="0" fontId="5" fillId="8" borderId="0" xfId="0" applyNumberFormat="1" applyFont="1" applyFill="1" applyBorder="1" applyAlignment="1">
      <x:alignment vertical="center"/>
    </x:xf>
    <x:xf numFmtId="0" fontId="5" fillId="8" borderId="0" xfId="0" applyNumberFormat="1" applyFont="1" applyFill="1" applyBorder="1" applyAlignment="1">
      <x:alignment vertical="center" wrapText="1"/>
    </x:xf>
    <x:xf numFmtId="0" fontId="25" fillId="8" borderId="0" xfId="0" applyNumberFormat="1" applyFont="1" applyFill="1" applyBorder="1" applyAlignment="1">
      <x:alignment vertical="center"/>
    </x:xf>
    <x:xf numFmtId="0" fontId="25" fillId="8" borderId="2" xfId="0" applyNumberFormat="1" applyFont="1" applyFill="1" applyBorder="1" applyAlignment="1">
      <x:alignment vertical="center"/>
    </x:xf>
    <x:xf numFmtId="0" fontId="25" fillId="8" borderId="2" xfId="0" applyNumberFormat="1" applyFont="1" applyFill="1" applyBorder="1" applyAlignment="1">
      <x:alignment vertical="center" wrapText="1"/>
    </x:xf>
    <x:xf numFmtId="0" fontId="25" fillId="9" borderId="0" xfId="0" applyNumberFormat="1" applyFont="1" applyFill="1" applyBorder="1" applyAlignment="1">
      <x:alignment vertical="center"/>
    </x:xf>
    <x:xf numFmtId="0" fontId="25" fillId="9" borderId="2" xfId="0" applyNumberFormat="1" applyFont="1" applyFill="1" applyBorder="1" applyAlignment="1">
      <x:alignment vertical="center"/>
    </x:xf>
    <x:xf numFmtId="0" fontId="25" fillId="9" borderId="2" xfId="0" applyNumberFormat="1" applyFont="1" applyFill="1" applyBorder="1" applyAlignment="1">
      <x:alignment vertical="center" wrapText="1"/>
    </x:xf>
    <x:xf numFmtId="0" fontId="26" fillId="6" borderId="0" xfId="0" applyNumberFormat="1" applyFont="1" applyFill="1" applyBorder="1" applyAlignment="1">
      <x:alignment vertical="center"/>
    </x:xf>
    <x:xf numFmtId="0" fontId="2" fillId="2" borderId="0" xfId="0" applyNumberFormat="1" applyFont="1" applyFill="1" applyBorder="1" applyAlignment="1">
      <x:alignment horizontal="left" vertical="center" wrapText="1"/>
    </x:xf>
    <x:xf numFmtId="0" fontId="1" fillId="0" borderId="0" xfId="0" applyNumberFormat="1" applyFont="1" applyFill="1" applyBorder="1" applyAlignment="1">
      <x:alignment vertical="center" wrapText="1"/>
    </x:xf>
    <x:xf numFmtId="0" fontId="9" fillId="4" borderId="0" xfId="0" applyNumberFormat="1" applyFont="1" applyFill="1" applyBorder="1" applyAlignment="1">
      <x:alignment vertical="center" wrapText="1"/>
    </x:xf>
    <x:xf numFmtId="0" fontId="11" fillId="8" borderId="2" xfId="0" applyNumberFormat="1" applyFont="1" applyFill="1" applyBorder="1" applyAlignment="1">
      <x:alignment vertical="center" wrapText="1"/>
    </x:xf>
    <x:xf numFmtId="0" fontId="12" fillId="9" borderId="15" xfId="0" applyNumberFormat="1" applyFont="1" applyFill="1" applyBorder="1" applyAlignment="1">
      <x:alignment horizontal="left" vertical="center" wrapText="1"/>
    </x:xf>
    <x:xf numFmtId="207" fontId="12" fillId="9" borderId="15" xfId="0" applyNumberFormat="1" applyFont="1" applyFill="1" applyBorder="1" applyAlignment="1">
      <x:alignment horizontal="left" vertical="center" wrapText="1"/>
    </x:xf>
    <x:xf numFmtId="208" fontId="12" fillId="9" borderId="15" xfId="0" applyNumberFormat="1" applyFont="1" applyFill="1" applyBorder="1" applyAlignment="1">
      <x:alignment horizontal="left" vertical="center" wrapText="1"/>
    </x:xf>
    <x:xf numFmtId="201" fontId="12" fillId="9" borderId="15" xfId="0" applyNumberFormat="1" applyFont="1" applyFill="1" applyBorder="1" applyAlignment="1">
      <x:alignment horizontal="left" vertical="center" wrapText="1"/>
    </x:xf>
    <x:xf numFmtId="0" fontId="11" fillId="0" borderId="0" xfId="0" applyNumberFormat="1" applyFont="1" applyFill="1" applyBorder="1" applyAlignment="1">
      <x:alignment vertical="center" wrapText="1"/>
    </x:xf>
    <x:xf numFmtId="0" fontId="14" fillId="7" borderId="16" xfId="0" applyNumberFormat="1" applyFont="1" applyFill="1" applyBorder="1" applyAlignment="1">
      <x:alignment horizontal="center" vertical="center" wrapText="1"/>
    </x:xf>
    <x:xf numFmtId="0" fontId="14" fillId="7" borderId="17" xfId="0" applyNumberFormat="1" applyFont="1" applyFill="1" applyBorder="1" applyAlignment="1">
      <x:alignment horizontal="center" vertical="center" wrapText="1"/>
    </x:xf>
    <x:xf numFmtId="0" fontId="14" fillId="7" borderId="18" xfId="0" applyNumberFormat="1" applyFont="1" applyFill="1" applyBorder="1" applyAlignment="1">
      <x:alignment horizontal="center" vertical="center" wrapText="1"/>
    </x:xf>
    <x:xf numFmtId="0" fontId="14" fillId="7" borderId="19" xfId="0" applyNumberFormat="1" applyFont="1" applyFill="1" applyBorder="1" applyAlignment="1">
      <x:alignment horizontal="center" vertical="center" wrapText="1"/>
    </x:xf>
    <x:xf numFmtId="0" fontId="14" fillId="7" borderId="0" xfId="0" applyNumberFormat="1" applyFont="1" applyFill="1" applyBorder="1" applyAlignment="1">
      <x:alignment horizontal="center" vertical="center" wrapText="1"/>
    </x:xf>
    <x:xf numFmtId="0" fontId="14" fillId="7" borderId="20" xfId="0" applyNumberFormat="1" applyFont="1" applyFill="1" applyBorder="1" applyAlignment="1">
      <x:alignment horizontal="center" vertical="center" wrapText="1"/>
    </x:xf>
    <x:xf numFmtId="0" fontId="14" fillId="7" borderId="21" xfId="0" applyNumberFormat="1" applyFont="1" applyFill="1" applyBorder="1" applyAlignment="1">
      <x:alignment horizontal="center" vertical="center" wrapText="1"/>
    </x:xf>
    <x:xf numFmtId="0" fontId="14" fillId="7" borderId="22" xfId="0" applyNumberFormat="1" applyFont="1" applyFill="1" applyBorder="1" applyAlignment="1">
      <x:alignment horizontal="center" vertical="center" wrapText="1"/>
    </x:xf>
    <x:xf numFmtId="0" fontId="14" fillId="7" borderId="23" xfId="0" applyNumberFormat="1" applyFont="1" applyFill="1" applyBorder="1" applyAlignment="1">
      <x:alignment horizontal="center" vertical="center" wrapText="1"/>
    </x:xf>
    <x:xf numFmtId="0" fontId="8" fillId="9" borderId="0" xfId="0" applyNumberFormat="1" applyFont="1" applyFill="1" applyBorder="1" applyAlignment="1">
      <x:alignment horizontal="center" vertical="center" wrapText="1"/>
    </x:xf>
    <x:xf numFmtId="0" fontId="19" fillId="7" borderId="60" xfId="0" applyNumberFormat="1" applyFont="1" applyFill="1" applyBorder="1" applyAlignment="1">
      <x:alignment horizontal="center" vertical="center" wrapText="1"/>
    </x:xf>
    <x:xf numFmtId="0" fontId="19" fillId="7" borderId="61" xfId="0" applyNumberFormat="1" applyFont="1" applyFill="1" applyBorder="1" applyAlignment="1">
      <x:alignment horizontal="center" vertical="center" wrapText="1"/>
    </x:xf>
    <x:xf numFmtId="0" fontId="19" fillId="7" borderId="62" xfId="0" applyNumberFormat="1" applyFont="1" applyFill="1" applyBorder="1" applyAlignment="1">
      <x:alignment horizontal="center" vertical="center" wrapText="1"/>
    </x:xf>
    <x:xf numFmtId="0" fontId="19" fillId="8" borderId="63" xfId="0" applyNumberFormat="1" applyFont="1" applyFill="1" applyBorder="1" applyAlignment="1">
      <x:alignment horizontal="center" vertical="center" wrapText="1"/>
    </x:xf>
    <x:xf numFmtId="0" fontId="19" fillId="8" borderId="64" xfId="0" applyNumberFormat="1" applyFont="1" applyFill="1" applyBorder="1" applyAlignment="1">
      <x:alignment horizontal="center" vertical="center" wrapText="1"/>
    </x:xf>
    <x:xf numFmtId="0" fontId="19" fillId="8" borderId="65" xfId="0" applyNumberFormat="1" applyFont="1" applyFill="1" applyBorder="1" applyAlignment="1">
      <x:alignment horizontal="center" vertical="center" wrapText="1"/>
    </x:xf>
    <x:xf numFmtId="219" fontId="5" fillId="0" borderId="2" xfId="0" applyNumberFormat="1" applyFont="1" applyFill="1" applyBorder="1" applyAlignment="1">
      <x:alignment vertical="center" wrapText="1"/>
    </x:xf>
    <x:xf numFmtId="0" fontId="5" fillId="3" borderId="2" xfId="0" applyNumberFormat="1" applyFont="1" applyFill="1" applyBorder="1" applyAlignment="1">
      <x:alignment vertical="center" wrapText="1"/>
    </x:xf>
    <x:xf numFmtId="201" fontId="5" fillId="3" borderId="2" xfId="0" applyNumberFormat="1" applyFont="1" applyFill="1" applyBorder="1" applyAlignment="1">
      <x:alignment vertical="center" wrapText="1"/>
    </x:xf>
    <x:xf numFmtId="0" fontId="15" fillId="7" borderId="16" xfId="0" applyNumberFormat="1" applyFont="1" applyFill="1" applyBorder="1" applyAlignment="1">
      <x:alignment horizontal="center" vertical="center" wrapText="1"/>
    </x:xf>
    <x:xf numFmtId="0" fontId="15" fillId="7" borderId="17" xfId="0" applyNumberFormat="1" applyFont="1" applyFill="1" applyBorder="1" applyAlignment="1">
      <x:alignment horizontal="center" vertical="center" wrapText="1"/>
    </x:xf>
    <x:xf numFmtId="0" fontId="15" fillId="7" borderId="18" xfId="0" applyNumberFormat="1" applyFont="1" applyFill="1" applyBorder="1" applyAlignment="1">
      <x:alignment horizontal="center" vertical="center" wrapText="1"/>
    </x:xf>
    <x:xf numFmtId="0" fontId="15" fillId="7" borderId="19" xfId="0" applyNumberFormat="1" applyFont="1" applyFill="1" applyBorder="1" applyAlignment="1">
      <x:alignment horizontal="center" vertical="center" wrapText="1"/>
    </x:xf>
    <x:xf numFmtId="0" fontId="15" fillId="7" borderId="0" xfId="0" applyNumberFormat="1" applyFont="1" applyFill="1" applyBorder="1" applyAlignment="1">
      <x:alignment horizontal="center" vertical="center" wrapText="1"/>
    </x:xf>
    <x:xf numFmtId="0" fontId="15" fillId="7" borderId="20" xfId="0" applyNumberFormat="1" applyFont="1" applyFill="1" applyBorder="1" applyAlignment="1">
      <x:alignment horizontal="center" vertical="center" wrapText="1"/>
    </x:xf>
    <x:xf numFmtId="0" fontId="15" fillId="7" borderId="21" xfId="0" applyNumberFormat="1" applyFont="1" applyFill="1" applyBorder="1" applyAlignment="1">
      <x:alignment horizontal="center" vertical="center" wrapText="1"/>
    </x:xf>
    <x:xf numFmtId="0" fontId="15" fillId="7" borderId="22" xfId="0" applyNumberFormat="1" applyFont="1" applyFill="1" applyBorder="1" applyAlignment="1">
      <x:alignment horizontal="center" vertical="center" wrapText="1"/>
    </x:xf>
    <x:xf numFmtId="0" fontId="15" fillId="7" borderId="23" xfId="0" applyNumberFormat="1" applyFont="1" applyFill="1" applyBorder="1" applyAlignment="1">
      <x:alignment horizontal="center" vertical="center" wrapText="1"/>
    </x:xf>
    <x:xf numFmtId="205" fontId="5" fillId="0" borderId="2" xfId="0" applyNumberFormat="1" applyFont="1" applyFill="1" applyBorder="1" applyAlignment="1">
      <x:alignment vertical="center" wrapText="1"/>
    </x:xf>
    <x:xf numFmtId="0" fontId="10" fillId="3" borderId="11" xfId="0" applyNumberFormat="1" applyFont="1" applyFill="1" applyBorder="1" applyAlignment="1">
      <x:alignment vertical="center" wrapText="1"/>
    </x:xf>
    <x:xf numFmtId="203" fontId="10" fillId="3" borderId="11" xfId="0" applyNumberFormat="1" applyFont="1" applyFill="1" applyBorder="1" applyAlignment="1">
      <x:alignment vertical="center" wrapText="1"/>
    </x:xf>
    <x:xf numFmtId="205" fontId="10" fillId="3" borderId="11" xfId="0" applyNumberFormat="1" applyFont="1" applyFill="1" applyBorder="1" applyAlignment="1">
      <x:alignment vertical="center" wrapText="1"/>
    </x:xf>
    <x:xf numFmtId="201" fontId="10" fillId="3" borderId="11" xfId="0" applyNumberFormat="1" applyFont="1" applyFill="1" applyBorder="1" applyAlignment="1">
      <x:alignment vertical="center" wrapText="1"/>
    </x:xf>
    <x:xf numFmtId="0" fontId="10" fillId="3" borderId="15" xfId="0" applyNumberFormat="1" applyFont="1" applyFill="1" applyBorder="1" applyAlignment="1">
      <x:alignment vertical="center" wrapText="1"/>
    </x:xf>
    <x:xf numFmtId="200" fontId="10" fillId="3" borderId="15" xfId="0" applyNumberFormat="1" applyFont="1" applyFill="1" applyBorder="1" applyAlignment="1">
      <x:alignment vertical="center" wrapText="1"/>
    </x:xf>
    <x:xf numFmtId="219" fontId="10" fillId="3" borderId="15" xfId="0" applyNumberFormat="1" applyFont="1" applyFill="1" applyBorder="1" applyAlignment="1">
      <x:alignment vertical="center" wrapText="1"/>
    </x:xf>
    <x:xf numFmtId="201" fontId="10" fillId="3" borderId="15" xfId="0" applyNumberFormat="1" applyFont="1" applyFill="1" applyBorder="1" applyAlignment="1">
      <x:alignment vertical="center" wrapText="1"/>
    </x:xf>
    <x:xf numFmtId="210" fontId="10" fillId="3" borderId="15" xfId="0" applyNumberFormat="1" applyFont="1" applyFill="1" applyBorder="1" applyAlignment="1">
      <x:alignment vertical="center" wrapText="1"/>
    </x:xf>
    <x:xf numFmtId="0" fontId="24" fillId="5" borderId="0" xfId="0" applyNumberFormat="1" applyFont="1" applyFill="1" applyBorder="1" applyAlignment="1">
      <x:alignment horizontal="center" vertical="center" wrapText="1"/>
    </x:xf>
    <x:xf numFmtId="204" fontId="17" fillId="9" borderId="15" xfId="0" applyNumberFormat="1" applyFont="1" applyFill="1" applyBorder="1" applyAlignment="1">
      <x:alignment vertical="center" wrapText="1"/>
    </x:xf>
    <x:xf numFmtId="0" fontId="10" fillId="7" borderId="15" xfId="0" applyNumberFormat="1" applyFont="1" applyFill="1" applyBorder="1" applyAlignment="1">
      <x:alignment vertical="center" wrapText="1"/>
    </x:xf>
    <x:xf numFmtId="0" fontId="19" fillId="8" borderId="40" xfId="0" applyNumberFormat="1" applyFont="1" applyFill="1" applyBorder="1" applyAlignment="1">
      <x:alignment horizontal="center" vertical="center" wrapText="1"/>
    </x:xf>
    <x:xf numFmtId="0" fontId="19" fillId="8" borderId="41" xfId="0" applyNumberFormat="1" applyFont="1" applyFill="1" applyBorder="1" applyAlignment="1">
      <x:alignment horizontal="center" vertical="center" wrapText="1"/>
    </x:xf>
    <x:xf numFmtId="0" fontId="19" fillId="8" borderId="42" xfId="0" applyNumberFormat="1" applyFont="1" applyFill="1" applyBorder="1" applyAlignment="1">
      <x:alignment horizontal="center" vertical="center" wrapText="1"/>
    </x:xf>
    <x:xf numFmtId="0" fontId="26" fillId="6" borderId="0" xfId="0" applyNumberFormat="1" applyFont="1" applyFill="1" applyBorder="1" applyAlignment="1">
      <x:alignment vertical="center" wrapText="1"/>
    </x:xf>
    <x:xf numFmtId="202" fontId="5" fillId="0" borderId="2" xfId="0" applyNumberFormat="1" applyFont="1" applyFill="1" applyBorder="1" applyAlignment="1">
      <x:alignment vertical="center" wrapText="1"/>
    </x:xf>
    <x:xf numFmtId="204" fontId="5" fillId="0" borderId="2" xfId="0" applyNumberFormat="1" applyFont="1" applyFill="1" applyBorder="1" applyAlignment="1">
      <x:alignment vertical="center" wrapText="1"/>
    </x:xf>
    <x:xf numFmtId="206" fontId="5" fillId="0" borderId="2" xfId="0" applyNumberFormat="1" applyFont="1" applyFill="1" applyBorder="1" applyAlignment="1">
      <x:alignment vertical="center" wrapText="1"/>
    </x:xf>
    <x:xf numFmtId="211" fontId="10" fillId="3" borderId="11" xfId="0" applyNumberFormat="1" applyFont="1" applyFill="1" applyBorder="1" applyAlignment="1">
      <x:alignment vertical="center" wrapText="1"/>
    </x:xf>
    <x:xf numFmtId="216" fontId="10" fillId="3" borderId="11" xfId="0" applyNumberFormat="1" applyFont="1" applyFill="1" applyBorder="1" applyAlignment="1">
      <x:alignment vertical="center" wrapText="1"/>
    </x:xf>
    <x:xf numFmtId="217" fontId="5" fillId="0" borderId="2" xfId="0" applyNumberFormat="1" applyFont="1" applyFill="1" applyBorder="1" applyAlignment="1">
      <x:alignment vertical="center" wrapText="1"/>
    </x:xf>
    <x:xf numFmtId="0" fontId="5" fillId="8" borderId="2" xfId="0" applyNumberFormat="1" applyFont="1" applyFill="1" applyBorder="1" applyAlignment="1">
      <x:alignment vertical="center" wrapText="1"/>
    </x:xf>
    <x:xf numFmtId="205" fontId="5" fillId="8" borderId="2" xfId="0" applyNumberFormat="1" applyFont="1" applyFill="1" applyBorder="1" applyAlignment="1">
      <x:alignment vertical="center" wrapText="1"/>
    </x:xf>
    <x:xf numFmtId="209" fontId="5" fillId="8" borderId="2" xfId="0" applyNumberFormat="1" applyFont="1" applyFill="1" applyBorder="1" applyAlignment="1">
      <x:alignment vertical="center" wrapText="1"/>
    </x:xf>
    <x:xf numFmtId="201" fontId="5" fillId="8" borderId="2" xfId="0" applyNumberFormat="1" applyFont="1" applyFill="1" applyBorder="1" applyAlignment="1">
      <x:alignment vertical="center" wrapText="1"/>
    </x:xf>
    <x:xf numFmtId="210" fontId="5" fillId="8" borderId="2" xfId="0" applyNumberFormat="1" applyFont="1" applyFill="1" applyBorder="1" applyAlignment="1">
      <x:alignment vertical="center" wrapText="1"/>
    </x:xf>
    <x:xf numFmtId="211" fontId="5" fillId="8" borderId="2" xfId="0" applyNumberFormat="1" applyFont="1" applyFill="1" applyBorder="1" applyAlignment="1">
      <x:alignment vertical="center" wrapText="1"/>
    </x:xf>
    <x:xf numFmtId="216" fontId="5" fillId="8" borderId="2"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200" fontId="6" fillId="3" borderId="2" xfId="0" applyNumberFormat="1" applyFont="1" applyFill="1" applyBorder="1" applyAlignment="1">
      <x:alignment vertical="center" wrapText="1"/>
    </x:xf>
    <x:xf numFmtId="202" fontId="10" fillId="7" borderId="11" xfId="0" applyNumberFormat="1" applyFont="1" applyFill="1" applyBorder="1" applyAlignment="1">
      <x:alignment vertical="center" wrapText="1"/>
    </x:xf>
    <x:xf numFmtId="0" fontId="12" fillId="9" borderId="15" xfId="0" applyNumberFormat="1" applyFont="1" applyFill="1" applyBorder="1" applyAlignment="1" applyProtection="1">
      <x:alignment horizontal="left" vertical="center" wrapText="1"/>
      <x:protection locked="0"/>
    </x:xf>
    <x:xf numFmtId="207" fontId="12" fillId="9" borderId="15" xfId="0" applyNumberFormat="1" applyFont="1" applyFill="1" applyBorder="1" applyAlignment="1" applyProtection="1">
      <x:alignment horizontal="left" vertical="center" wrapText="1"/>
      <x:protection locked="0"/>
    </x:xf>
    <x:xf numFmtId="208" fontId="12" fillId="9" borderId="15" xfId="0" applyNumberFormat="1" applyFont="1" applyFill="1" applyBorder="1" applyAlignment="1" applyProtection="1">
      <x:alignment horizontal="left" vertical="center" wrapText="1"/>
      <x:protection locked="0"/>
    </x:xf>
    <x:xf numFmtId="201" fontId="12" fillId="9" borderId="15" xfId="0" applyNumberFormat="1" applyFont="1" applyFill="1" applyBorder="1" applyAlignment="1" applyProtection="1">
      <x:alignment horizontal="left" vertical="center" wrapText="1"/>
      <x:protection locked="0"/>
    </x:xf>
    <x:xf numFmtId="209" fontId="17" fillId="9" borderId="15" xfId="0" applyNumberFormat="1" applyFont="1" applyFill="1" applyBorder="1" applyAlignment="1" applyProtection="1">
      <x:alignment vertical="center" wrapText="1"/>
      <x:protection locked="0"/>
    </x:xf>
    <x:xf numFmtId="0" fontId="17" fillId="9" borderId="15" xfId="0" applyNumberFormat="1" applyFont="1" applyFill="1" applyBorder="1" applyAlignment="1" applyProtection="1">
      <x:alignment vertical="center" wrapText="1"/>
      <x:protection locked="0"/>
    </x:xf>
    <x:xf numFmtId="210" fontId="17" fillId="9" borderId="15" xfId="0" applyNumberFormat="1" applyFont="1" applyFill="1" applyBorder="1" applyAlignment="1" applyProtection="1">
      <x:alignment vertical="center" wrapText="1"/>
      <x:protection locked="0"/>
    </x:xf>
    <x:xf numFmtId="200" fontId="17" fillId="9" borderId="15" xfId="0" applyNumberFormat="1" applyFont="1" applyFill="1" applyBorder="1" applyAlignment="1" applyProtection="1">
      <x:alignment vertical="center" wrapText="1"/>
      <x:protection locked="0"/>
    </x:xf>
    <x:xf numFmtId="211" fontId="17" fillId="9" borderId="15" xfId="0" applyNumberFormat="1" applyFont="1" applyFill="1" applyBorder="1" applyAlignment="1" applyProtection="1">
      <x:alignment vertical="center" wrapText="1"/>
      <x:protection locked="0"/>
    </x:xf>
    <x:xf numFmtId="201" fontId="17" fillId="9" borderId="15" xfId="0" applyNumberFormat="1" applyFont="1" applyFill="1" applyBorder="1" applyAlignment="1" applyProtection="1">
      <x:alignment vertical="center" wrapText="1"/>
      <x:protection locked="0"/>
    </x:xf>
    <x:xf numFmtId="212" fontId="17" fillId="9" borderId="15" xfId="0" applyNumberFormat="1" applyFont="1" applyFill="1" applyBorder="1" applyAlignment="1" applyProtection="1">
      <x:alignment vertical="center" wrapText="1"/>
      <x:protection locked="0"/>
    </x:xf>
    <x:xf numFmtId="203" fontId="17" fillId="9" borderId="15" xfId="0" applyNumberFormat="1" applyFont="1" applyFill="1" applyBorder="1" applyAlignment="1" applyProtection="1">
      <x:alignment vertical="center" wrapText="1"/>
      <x:protection locked="0"/>
    </x:xf>
    <x:xf numFmtId="213" fontId="17" fillId="9" borderId="15" xfId="0" applyNumberFormat="1" applyFont="1" applyFill="1" applyBorder="1" applyAlignment="1" applyProtection="1">
      <x:alignment vertical="center" wrapText="1"/>
      <x:protection locked="0"/>
    </x:xf>
    <x:xf numFmtId="214" fontId="17" fillId="9" borderId="15" xfId="0" applyNumberFormat="1" applyFont="1" applyFill="1" applyBorder="1" applyAlignment="1" applyProtection="1">
      <x:alignment vertical="center" wrapText="1"/>
      <x:protection locked="0"/>
    </x:xf>
    <x:xf numFmtId="215" fontId="17" fillId="9" borderId="15" xfId="0" applyNumberFormat="1" applyFont="1" applyFill="1" applyBorder="1" applyAlignment="1" applyProtection="1">
      <x:alignment vertical="center" wrapText="1"/>
      <x:protection locked="0"/>
    </x:xf>
    <x:xf numFmtId="204" fontId="17" fillId="9" borderId="15" xfId="0" applyNumberFormat="1" applyFont="1" applyFill="1" applyBorder="1" applyAlignment="1" applyProtection="1">
      <x:alignment vertical="center" wrapText="1"/>
      <x:protection locked="0"/>
    </x:xf>
    <x:xf numFmtId="0" fontId="18" fillId="9" borderId="15" xfId="0" applyNumberFormat="1" applyFont="1" applyFill="1" applyBorder="1" applyAlignment="1" applyProtection="1">
      <x:alignment vertical="center" wrapText="1"/>
      <x:protection locked="0"/>
    </x:xf>
  </x:cellXfs>
  <x:cellStyles count="1">
    <x:cellStyle name="Normal" xfId="0"/>
  </x:cellStyles>
  <x:dxfs count="3">
    <x:dxf>
      <x:font>
        <x:b/>
        <x:color rgb="FF067647"/>
      </x:font>
      <x:fill>
        <x:patternFill patternType="solid">
          <x:bgColor rgb="FFECFDF3"/>
        </x:patternFill>
      </x:fill>
    </x:dxf>
    <x:dxf>
      <x:font>
        <x:b/>
        <x:color rgb="FFB42318"/>
      </x:font>
      <x:fill>
        <x:patternFill patternType="solid">
          <x:bgColor rgb="FFFEE4E2"/>
        </x:patternFill>
      </x:fill>
    </x:dxf>
    <x:dxf>
      <x:font>
        <x:b/>
        <x:color rgb="FF203438"/>
      </x:font>
      <x:fill>
        <x:patternFill patternType="solid">
          <x:bgColor rgb="FFFFF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d75d818e3ef494f" /><Relationship Type="http://schemas.openxmlformats.org/officeDocument/2006/relationships/theme" Target="/xl/theme/theme1.xml" Id="Reb3f54ff03b24c87" /><Relationship Type="http://schemas.openxmlformats.org/officeDocument/2006/relationships/sharedStrings" Target="/xl/sharedStrings.xml" Id="Re3207f0dbe4f4110" /><Relationship Type="http://schemas.openxmlformats.org/officeDocument/2006/relationships/worksheet" Target="/xl/worksheets/sheet1.xml" Id="R71117382198b47f3" /><Relationship Type="http://schemas.openxmlformats.org/officeDocument/2006/relationships/worksheet" Target="/xl/worksheets/sheet2.xml" Id="Ra630d9ea58644a5d" /><Relationship Type="http://schemas.openxmlformats.org/officeDocument/2006/relationships/worksheet" Target="/xl/worksheets/sheet3.xml" Id="R82eb63a5cf404d8a" /><Relationship Type="http://schemas.openxmlformats.org/officeDocument/2006/relationships/worksheet" Target="/xl/worksheets/sheet4.xml" Id="R9063f487d1f94ad1" /><Relationship Type="http://schemas.openxmlformats.org/officeDocument/2006/relationships/worksheet" Target="/xl/worksheets/sheet5.xml" Id="R656ccc7ed3754aa9" /><Relationship Type="http://schemas.openxmlformats.org/officeDocument/2006/relationships/worksheet" Target="/xl/worksheets/sheet6.xml" Id="R04739b54bf7942a9" /><Relationship Type="http://schemas.openxmlformats.org/officeDocument/2006/relationships/worksheet" Target="/xl/worksheets/sheet7.xml" Id="R389855fc4420405c" /><Relationship Type="http://schemas.openxmlformats.org/officeDocument/2006/relationships/worksheet" Target="/xl/worksheets/sheet8.xml" Id="R330a79ddc60349cf" /><Relationship Type="http://schemas.openxmlformats.org/officeDocument/2006/relationships/worksheet" Target="/xl/worksheets/sheet9.xml" Id="R190b48f13bd042ab" /><Relationship Type="http://schemas.openxmlformats.org/officeDocument/2006/relationships/worksheet" Target="/xl/worksheets/sheet10.xml" Id="Ra901343acb744aba" /><Relationship Type="http://schemas.openxmlformats.org/officeDocument/2006/relationships/worksheet" Target="/xl/worksheets/sheet11.xml" Id="Rc6aa50350dc7435b" /><Relationship Type="http://schemas.openxmlformats.org/officeDocument/2006/relationships/worksheet" Target="/xl/worksheets/sheet12.xml" Id="R05a8933bb69e4b52" /><Relationship Type="http://schemas.openxmlformats.org/officeDocument/2006/relationships/worksheet" Target="/xl/worksheets/sheet13.xml" Id="R0ee36c97e2004a4d" /><Relationship Type="http://schemas.openxmlformats.org/officeDocument/2006/relationships/worksheet" Target="/xl/worksheets/sheet14.xml" Id="Rcf27f731d9d5485d" /><Relationship Type="http://schemas.openxmlformats.org/officeDocument/2006/relationships/worksheet" Target="/xl/worksheets/sheet15.xml" Id="R5b9efa5ca3a24ac8" /></Relationships>
</file>

<file path=xl/drawings/_rels/drawing1.xml.rels>&#65279;<?xml version="1.0" encoding="utf-8"?><Relationships xmlns="http://schemas.openxmlformats.org/package/2006/relationships"><Relationship Type="http://schemas.openxmlformats.org/officeDocument/2006/relationships/chart" Target="/xl/drawings/charts/chart1.xml" Id="R83bdddc8f96842b1" /><Relationship Type="http://schemas.openxmlformats.org/officeDocument/2006/relationships/chart" Target="/xl/drawings/charts/chart2.xml" Id="Rc473da5e38444e5e"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月間発電量</a:t>
            </a:r>
          </a:p>
        </c:rich>
      </c:tx>
      <c:overlay val="0"/>
    </c:title>
    <c:plotArea>
      <c:lineChart>
        <c:grouping val="standard"/>
        <c:varyColors val="0"/>
        <c:ser>
          <c:idx val="0"/>
          <c:order val="0"/>
          <c:tx>
            <c:v>発電量</c:v>
          </c:tx>
          <c:spPr>
            <a:solidFill xmlns:a="http://schemas.openxmlformats.org/drawingml/2006/main">
              <a:srgbClr val="006D70"/>
            </a:solidFill>
          </c:spPr>
          <c:marker>
            <c:symbol val="none"/>
          </c:marker>
          <c:cat>
            <c:strRef>
              <c:f>'_計算月次'!$B$5:$B$16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'_計算月次'!$J$5:$J$16</c:f>
              <c:numCache>
                <c:formatCode>#,##0" kWh"</c:formatCode>
                <c:ptCount val="12"/>
                <c:pt idx="0">
                  <c:v>502.4147595742038</c:v>
                </c:pt>
                <c:pt idx="1">
                  <c:v>472.4508339500229</c:v>
                </c:pt>
                <c:pt idx="2">
                  <c:v>548.3418864753118</c:v>
                </c:pt>
                <c:pt idx="3">
                  <c:v>548.3944393749554</c:v>
                </c:pt>
                <c:pt idx="4">
                  <c:v>552.2367574934775</c:v>
                </c:pt>
                <c:pt idx="5">
                  <c:v>448.7994857612148</c:v>
                </c:pt>
                <c:pt idx="6">
                  <c:v>476.0181638067866</c:v>
                </c:pt>
                <c:pt idx="7">
                  <c:v>528.6548067323699</c:v>
                </c:pt>
                <c:pt idx="8">
                  <c:v>436.37734765103465</c:v>
                </c:pt>
                <c:pt idx="9">
                  <c:v>408.8269849869007</c:v>
                </c:pt>
                <c:pt idx="10">
                  <c:v>398.45169764745054</c:v>
                </c:pt>
                <c:pt idx="11">
                  <c:v>443.97248688000184</c:v>
                </c:pt>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quot; kWh&quot;"/>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累積キャッシュフロー</a:t>
            </a:r>
          </a:p>
        </c:rich>
      </c:tx>
      <c:overlay val="0"/>
    </c:title>
    <c:plotArea>
      <c:lineChart>
        <c:grouping val="standard"/>
        <c:varyColors val="0"/>
        <c:ser>
          <c:idx val="0"/>
          <c:order val="0"/>
          <c:tx>
            <c:v>累積CF</c:v>
          </c:tx>
          <c:spPr>
            <a:solidFill xmlns:a="http://schemas.openxmlformats.org/drawingml/2006/main">
              <a:srgbClr val="234A50"/>
            </a:solidFill>
          </c:spPr>
          <c:marker>
            <c:symbol val="none"/>
          </c:marker>
          <c:cat>
            <c:strRef>
              <c:f>'_計算年次'!$A$5:$A$25</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'_計算年次'!$L$5:$L$25</c:f>
              <c:numCache>
                <c:formatCode>#,##0" 円"</c:formatCode>
                <c:ptCount val="21"/>
                <c:pt idx="0">
                  <c:v>-1500000</c:v>
                </c:pt>
                <c:pt idx="1">
                  <c:v>-1336275.713930522</c:v>
                </c:pt>
                <c:pt idx="2">
                  <c:v>-1171744.3363099974</c:v>
                </c:pt>
                <c:pt idx="3">
                  <c:v>-1006397.7962229155</c:v>
                </c:pt>
                <c:pt idx="4">
                  <c:v>-840227.9420446109</c:v>
                </c:pt>
                <c:pt idx="5">
                  <c:v>-727532.272140315</c:v>
                </c:pt>
                <c:pt idx="6">
                  <c:v>-613996.7395315628</c:v>
                </c:pt>
                <c:pt idx="7">
                  <c:v>-499612.9455913097</c:v>
                </c:pt>
                <c:pt idx="8">
                  <c:v>-384372.40770624066</c:v>
                </c:pt>
                <c:pt idx="9">
                  <c:v>-268266.5584369076</c:v>
                </c:pt>
                <c:pt idx="10">
                  <c:v>-151286.7446694678</c:v>
                </c:pt>
                <c:pt idx="11">
                  <c:v>-33424.2267589402</c:v>
                </c:pt>
                <c:pt idx="12">
                  <c:v>-164670.177663894</c:v>
                </c:pt>
                <c:pt idx="13">
                  <c:v>-45015.682072483905</c:v>
                </c:pt>
                <c:pt idx="14">
                  <c:v>75548.26448025365</c:v>
                </c:pt>
                <c:pt idx="15">
                  <c:v>197030.756503932</c:v>
                </c:pt>
                <c:pt idx="16">
                  <c:v>319440.97945326054</c:v>
                </c:pt>
                <c:pt idx="17">
                  <c:v>442788.2106374957</c:v>
                </c:pt>
                <c:pt idx="18">
                  <c:v>567081.8201389866</c:v>
                </c:pt>
                <c:pt idx="19">
                  <c:v>692331.2717409057</c:v>
                </c:pt>
                <c:pt idx="20">
                  <c:v>818546.1238642575</c:v>
                </c:pt>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quot; 円&quot;"/>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18</xdr:row>
      <xdr:rowOff>0</xdr:rowOff>
    </xdr:from>
    <xdr:to>
      <xdr:col>6</xdr:col>
      <xdr:colOff>0</xdr:colOff>
      <xdr:row>34</xdr:row>
      <xdr:rowOff>0</xdr:rowOff>
    </xdr:to>
    <xdr:graphicFrame macro="">
      <xdr:nvGraphicFramePr>
        <xdr:cNvPr id="1" name="月間発電量" title="月間発電量" descr="1月から12月までの推定発電量を示す折れ線グラフ。正確な数値は月別・20年シートで確認できます。"/>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3bdddc8f96842b1"/>
        </a:graphicData>
      </a:graphic>
    </xdr:graphicFrame>
    <xdr:clientData/>
  </xdr:twoCellAnchor>
  <xdr:twoCellAnchor>
    <xdr:from>
      <xdr:col>7</xdr:col>
      <xdr:colOff>0</xdr:colOff>
      <xdr:row>18</xdr:row>
      <xdr:rowOff>0</xdr:rowOff>
    </xdr:from>
    <xdr:to>
      <xdr:col>13</xdr:col>
      <xdr:colOff>0</xdr:colOff>
      <xdr:row>34</xdr:row>
      <xdr:rowOff>0</xdr:rowOff>
    </xdr:to>
    <xdr:graphicFrame macro="">
      <xdr:nvGraphicFramePr>
        <xdr:cNvPr id="2" name="累積キャッシュフロー" title="累積キャッシュフロー" descr="初期負担から20年目までの累積キャッシュフローを示す折れ線グラフ。正確な数値は月別・20年シートで確認できます。"/>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473da5e38444e5e"/>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591202f7abe54546" /><Relationship Type="http://schemas.openxmlformats.org/officeDocument/2006/relationships/hyperlink" Target="https://www.enegaeru.com/simulation-soudan?utm_source=enegaeru_excel&amp;utm_medium=owned_asset&amp;utm_campaign=household_pv_excel&amp;utm_content=household_referral_v1" TargetMode="External" Id="rIdEnegaeru1"/><Relationship Type="http://schemas.openxmlformats.org/officeDocument/2006/relationships/hyperlink" Target="https://www.enegaeru.com/product-demo?utm_source=enegaeru_excel&amp;utm_medium=owned_asset&amp;utm_campaign=household_pv_excel&amp;utm_content=seller_product_tour_v1" TargetMode="External" Id="rIdEnegaeru2"/><Relationship Type="http://schemas.openxmlformats.org/officeDocument/2006/relationships/hyperlink" Target="https://www.enegaeru.com/simulation-soudan?utm_source=enegaeru_excel&amp;utm_medium=owned_asset&amp;utm_campaign=household_pv_excel&amp;utm_content=household_referral_v1" TargetMode="External" Id="rIdEnegaeru3"/><Relationship Type="http://schemas.openxmlformats.org/officeDocument/2006/relationships/hyperlink" Target="https://www.enegaeru.com/product-demo?utm_source=enegaeru_excel&amp;utm_medium=owned_asset&amp;utm_campaign=household_pv_excel&amp;utm_content=seller_product_tour_v1" TargetMode="External" Id="rIdEnegaeru4"/><Relationship Type="http://schemas.openxmlformats.org/officeDocument/2006/relationships/hyperlink" Target="https://www.enegaeru.com/price?utm_source=enegaeru_excel&amp;utm_medium=owned_asset&amp;utm_campaign=household_pv_excel&amp;utm_content=seller_trial_pricing_v1" TargetMode="External" Id="rIdEnegaeru5"/></Relationships>
</file>

<file path=xl/worksheets/_rels/sheet6.xml.rels><?xml version="1.0" encoding="utf-8"?><Relationships xmlns="http://schemas.openxmlformats.org/package/2006/relationships"><Relationship Type="http://schemas.openxmlformats.org/officeDocument/2006/relationships/hyperlink" Target="https://www.nedo.go.jp/seika_hyoka/ZZFF_100041.html" TargetMode="External" Id="rIdEnegaeru1"/></Relationships>
</file>

<file path=xl/worksheets/_rels/sheet7.xml.rels><?xml version="1.0" encoding="utf-8"?><Relationships xmlns="http://schemas.openxmlformats.org/package/2006/relationships"><Relationship Type="http://schemas.openxmlformats.org/officeDocument/2006/relationships/hyperlink" Target="https://webdesk.jsa.or.jp/books/W11M0090/index/?bunsyo_id=JIS+C+8907:2005" TargetMode="External" Id="rIdEnegaeru1"/><Relationship Type="http://schemas.openxmlformats.org/officeDocument/2006/relationships/hyperlink" Target="https://joint-research-centre.ec.europa.eu/photovoltaic-geographical-information-system-pvgis/general-information/usage-conditions-data-protection_en" TargetMode="External" Id="rIdEnegaeru2"/><Relationship Type="http://schemas.openxmlformats.org/officeDocument/2006/relationships/hyperlink" Target="https://joint-research-centre.ec.europa.eu/photovoltaic-geographical-information-system-pvgis/using-pvgis-5/api-non-interactive-service_en" TargetMode="External" Id="rIdEnegaeru3"/><Relationship Type="http://schemas.openxmlformats.org/officeDocument/2006/relationships/hyperlink" Target="https://data.jrc.ec.europa.eu/dataset/eef67979-e4a9-46f1-80f4-16fe2a266634" TargetMode="External" Id="rIdEnegaeru4"/><Relationship Type="http://schemas.openxmlformats.org/officeDocument/2006/relationships/hyperlink" Target="https://joint-research-centre.ec.europa.eu/photovoltaic-geographical-information-system-pvgis/general-information/geospatial-data-download_en" TargetMode="External" Id="rIdEnegaeru5"/><Relationship Type="http://schemas.openxmlformats.org/officeDocument/2006/relationships/hyperlink" Target="https://github.com/gsi-cyberjapan/optimal_bvmap" TargetMode="External" Id="rIdEnegaeru6"/><Relationship Type="http://schemas.openxmlformats.org/officeDocument/2006/relationships/hyperlink" Target="https://www.nedo.go.jp/seika_hyoka/ZZFF_100041.html" TargetMode="External" Id="rIdEnegaeru7"/><Relationship Type="http://schemas.openxmlformats.org/officeDocument/2006/relationships/hyperlink" Target="https://www.nedo.go.jp/qinf/copyright.html" TargetMode="External" Id="rIdEnegaeru8"/><Relationship Type="http://schemas.openxmlformats.org/officeDocument/2006/relationships/hyperlink" Target="https://www.enecho.meti.go.jp/category/saving_and_new/saiene/kaitori/fit_kakaku.html" TargetMode="External" Id="rIdEnegaeru9"/><Relationship Type="http://schemas.openxmlformats.org/officeDocument/2006/relationships/hyperlink" Target="https://creativecommons.org/licenses/by/4.0/" TargetMode="External" Id="rIdEnegaeru10"/><Relationship Type="http://schemas.openxmlformats.org/officeDocument/2006/relationships/hyperlink" Target="https://www.digital.go.jp/resources/open_data/public_data_license_v1.0" TargetMode="External" Id="rIdEnegaeru11"/><Relationship Type="http://schemas.openxmlformats.org/officeDocument/2006/relationships/hyperlink" Target="https://cds.climate.copernicus.eu/licences/licence-to-use-copernicus-products" TargetMode="External" Id="rIdEnegaeru12"/></Relationships>
</file>

<file path=xl/worksheets/sheet1.xml><?xml version="1.0" encoding="utf-8"?>
<x:worksheet xmlns:x="http://schemas.openxmlformats.org/spreadsheetml/2006/main">
  <x:sheetPr>
    <x:pageSetUpPr fitToPage="1"/>
  </x:sheetPr>
  <x:sheetViews>
    <x:sheetView showGridLines="0" workbookViewId="0">
      <x:pane ySplit="3" topLeftCell="A4"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0" customHeight="1">
      <x:c r="A1" s="526" t="str">
        <x:v>家庭用太陽光｜47都道府県 3分経済効果チェック｜powered by エネがえる</x:v>
      </x:c>
      <x:c r="B1" s="526"/>
      <x:c r="C1" s="526"/>
      <x:c r="D1" s="526"/>
      <x:c r="E1" s="526"/>
      <x:c r="F1" s="526"/>
      <x:c r="G1" s="526"/>
      <x:c r="H1" s="526"/>
      <x:c r="I1" s="526"/>
      <x:c r="J1" s="526"/>
      <x:c r="K1" s="526"/>
      <x:c r="L1" s="526"/>
    </x:row>
    <x:row r="2" ht="30" customHeight="1">
      <x:c r="A2" s="526"/>
      <x:c r="B2" s="526"/>
      <x:c r="C2" s="526"/>
      <x:c r="D2" s="526"/>
      <x:c r="E2" s="526"/>
      <x:c r="F2" s="526"/>
      <x:c r="G2" s="526"/>
      <x:c r="H2" s="526"/>
      <x:c r="I2" s="526"/>
      <x:c r="J2" s="526"/>
      <x:c r="K2" s="526"/>
      <x:c r="L2" s="526"/>
    </x:row>
    <x:row r="3">
      <x:c r="A3" s="8" t="str">
        <x:v>最小入力で、発電量・電気代削減・売電・恒久回収年・20年損益を概算。青字セルだけ変更してください。v1.0.1 公開版（2026-08-30）</x:v>
      </x:c>
      <x:c r="B3" s="8"/>
      <x:c r="C3" s="8"/>
      <x:c r="D3" s="8"/>
      <x:c r="E3" s="8"/>
      <x:c r="F3" s="8"/>
      <x:c r="G3" s="8"/>
      <x:c r="H3" s="8"/>
      <x:c r="I3" s="8"/>
      <x:c r="J3" s="8"/>
      <x:c r="K3" s="8"/>
      <x:c r="L3" s="8"/>
    </x:row>
    <x:row r="4">
      <x:c r="A4" s="527"/>
      <x:c r="B4" s="527"/>
      <x:c r="C4" s="527"/>
      <x:c r="D4" s="527"/>
      <x:c r="E4" s="527"/>
      <x:c r="F4" s="527"/>
      <x:c r="G4" s="527"/>
      <x:c r="H4" s="527"/>
      <x:c r="I4" s="527"/>
      <x:c r="J4" s="527"/>
      <x:c r="K4" s="527"/>
      <x:c r="L4" s="527"/>
    </x:row>
    <x:row r="5">
      <x:c r="A5" s="187" t="str">
        <x:v>STEP 1｜基本条件を入力</x:v>
      </x:c>
      <x:c r="B5" s="187"/>
      <x:c r="C5" s="187"/>
      <x:c r="D5" s="187"/>
      <x:c r="E5" s="187"/>
      <x:c r="F5" s="187"/>
      <x:c r="G5" s="528" t="str">
        <x:v>STEP 2｜このExcelでわかること</x:v>
      </x:c>
      <x:c r="H5" s="528"/>
      <x:c r="I5" s="528"/>
      <x:c r="J5" s="528"/>
      <x:c r="K5" s="528"/>
      <x:c r="L5" s="528"/>
    </x:row>
    <x:row r="6" ht="30" customHeight="1">
      <x:c r="A6" s="529" t="str">
        <x:v>都道府県</x:v>
      </x:c>
      <x:c r="B6" s="527"/>
      <x:c r="C6" s="527"/>
      <x:c r="D6" s="596" t="str">
        <x:v>東京都</x:v>
      </x:c>
      <x:c r="E6" s="596"/>
      <x:c r="F6" s="596"/>
      <x:c r="G6" s="527"/>
      <x:c r="H6" s="527"/>
      <x:c r="I6" s="527"/>
      <x:c r="J6" s="527"/>
      <x:c r="K6" s="527"/>
      <x:c r="L6" s="527"/>
    </x:row>
    <x:row r="7">
      <x:c r="A7" s="527"/>
      <x:c r="B7" s="527"/>
      <x:c r="C7" s="527"/>
      <x:c r="D7" s="527"/>
      <x:c r="E7" s="527"/>
      <x:c r="F7" s="527"/>
      <x:c r="G7" s="79" t="str">
        <x:v>✓ 年間・月別の推定発電量
✓ 自家消費量・売電量・買電量
✓ 初年度の電気代削減＋売電収入</x:v>
      </x:c>
      <x:c r="H7" s="80"/>
      <x:c r="I7" s="80"/>
      <x:c r="J7" s="80"/>
      <x:c r="K7" s="80"/>
      <x:c r="L7" s="81"/>
    </x:row>
    <x:row r="8" ht="30" customHeight="1">
      <x:c r="A8" s="529" t="str">
        <x:v>太陽光容量</x:v>
      </x:c>
      <x:c r="B8" s="527"/>
      <x:c r="C8" s="527"/>
      <x:c r="D8" s="597" t="n">
        <x:v>5</x:v>
      </x:c>
      <x:c r="E8" s="596"/>
      <x:c r="F8" s="596"/>
      <x:c r="G8" s="82"/>
      <x:c r="H8" s="83"/>
      <x:c r="I8" s="83"/>
      <x:c r="J8" s="83"/>
      <x:c r="K8" s="83"/>
      <x:c r="L8" s="84"/>
    </x:row>
    <x:row r="9">
      <x:c r="A9" s="527"/>
      <x:c r="B9" s="527"/>
      <x:c r="C9" s="527"/>
      <x:c r="D9" s="527"/>
      <x:c r="E9" s="527"/>
      <x:c r="F9" s="527"/>
      <x:c r="G9" s="85"/>
      <x:c r="H9" s="86"/>
      <x:c r="I9" s="86"/>
      <x:c r="J9" s="86"/>
      <x:c r="K9" s="86"/>
      <x:c r="L9" s="87"/>
    </x:row>
    <x:row r="10" ht="30" customHeight="1">
      <x:c r="A10" s="529" t="str">
        <x:v>年間電気使用量</x:v>
      </x:c>
      <x:c r="B10" s="527"/>
      <x:c r="C10" s="527"/>
      <x:c r="D10" s="598" t="n">
        <x:v>4500</x:v>
      </x:c>
      <x:c r="E10" s="596"/>
      <x:c r="F10" s="596"/>
      <x:c r="G10" s="79" t="str">
        <x:v>✓ PCS交換後の再赤字も見る恒久回収年
✓ 慎重・標準・上振れを同じ月次式で比較
✓ 前提・出典・回帰QAを追跡可能</x:v>
      </x:c>
      <x:c r="H10" s="80"/>
      <x:c r="I10" s="80"/>
      <x:c r="J10" s="80"/>
      <x:c r="K10" s="80"/>
      <x:c r="L10" s="81"/>
    </x:row>
    <x:row r="11">
      <x:c r="A11" s="527"/>
      <x:c r="B11" s="527"/>
      <x:c r="C11" s="527"/>
      <x:c r="D11" s="527"/>
      <x:c r="E11" s="527"/>
      <x:c r="F11" s="527"/>
      <x:c r="G11" s="82"/>
      <x:c r="H11" s="83"/>
      <x:c r="I11" s="83"/>
      <x:c r="J11" s="83"/>
      <x:c r="K11" s="83"/>
      <x:c r="L11" s="84"/>
    </x:row>
    <x:row r="12" ht="30" customHeight="1">
      <x:c r="A12" s="529" t="str">
        <x:v>日中の在宅</x:v>
      </x:c>
      <x:c r="B12" s="527"/>
      <x:c r="C12" s="527"/>
      <x:c r="D12" s="596" t="str">
        <x:v>一部在宅</x:v>
      </x:c>
      <x:c r="E12" s="596"/>
      <x:c r="F12" s="596"/>
      <x:c r="G12" s="85"/>
      <x:c r="H12" s="86"/>
      <x:c r="I12" s="86"/>
      <x:c r="J12" s="86"/>
      <x:c r="K12" s="86"/>
      <x:c r="L12" s="87"/>
    </x:row>
    <x:row r="13">
      <x:c r="A13" s="527"/>
      <x:c r="B13" s="527"/>
      <x:c r="C13" s="527"/>
      <x:c r="D13" s="527"/>
      <x:c r="E13" s="527"/>
      <x:c r="F13" s="527"/>
      <x:c r="G13" s="527"/>
      <x:c r="H13" s="527"/>
      <x:c r="I13" s="527"/>
      <x:c r="J13" s="527"/>
      <x:c r="K13" s="527"/>
      <x:c r="L13" s="527"/>
    </x:row>
    <x:row r="14" ht="30" customHeight="1">
      <x:c r="A14" s="529" t="str">
        <x:v>設置費（税込）</x:v>
      </x:c>
      <x:c r="B14" s="527"/>
      <x:c r="C14" s="527"/>
      <x:c r="D14" s="599" t="n">
        <x:v>1500000</x:v>
      </x:c>
      <x:c r="E14" s="596"/>
      <x:c r="F14" s="596"/>
      <x:c r="G14" s="187" t="str">
        <x:v>自動選択された計算条件</x:v>
      </x:c>
      <x:c r="H14" s="187"/>
      <x:c r="I14" s="187"/>
      <x:c r="J14" s="187"/>
      <x:c r="K14" s="187"/>
      <x:c r="L14" s="187"/>
    </x:row>
    <x:row r="15">
      <x:c r="A15" s="527"/>
      <x:c r="B15" s="527"/>
      <x:c r="C15" s="527"/>
      <x:c r="D15" s="527"/>
      <x:c r="E15" s="527"/>
      <x:c r="F15" s="527"/>
      <x:c r="G15" s="527"/>
      <x:c r="H15" s="527"/>
      <x:c r="I15" s="527"/>
      <x:c r="J15" s="527"/>
      <x:c r="K15" s="527"/>
      <x:c r="L15" s="527"/>
    </x:row>
    <x:row r="16" ht="30" customHeight="1">
      <x:c r="A16" s="529" t="str">
        <x:v>補助金</x:v>
      </x:c>
      <x:c r="B16" s="527"/>
      <x:c r="C16" s="527"/>
      <x:c r="D16" s="599" t="n">
        <x:v>0</x:v>
      </x:c>
      <x:c r="E16" s="596"/>
      <x:c r="F16" s="596"/>
      <x:c r="G16" s="534" t="str">
        <x:v>PVGIS代表地点</x:v>
      </x:c>
      <x:c r="H16" s="527"/>
      <x:c r="I16" s="527"/>
      <x:c r="J16" s="89" t="str">
        <x:f>IFERROR(VLOOKUP(D6,'_地点データ'!$A$5:$AI$51,3,FALSE)&amp;"（PVGIS-ERA5）","入力エラー")</x:f>
        <x:v>東京都庁（新宿区）（PVGIS-ERA5）</x:v>
      </x:c>
      <x:c r="K16" s="527"/>
      <x:c r="L16" s="527"/>
    </x:row>
    <x:row r="17">
      <x:c r="A17" s="527"/>
      <x:c r="B17" s="527"/>
      <x:c r="C17" s="527"/>
      <x:c r="D17" s="527"/>
      <x:c r="E17" s="527"/>
      <x:c r="F17" s="527"/>
      <x:c r="G17" s="527"/>
      <x:c r="H17" s="527"/>
      <x:c r="I17" s="527"/>
      <x:c r="J17" s="527"/>
      <x:c r="K17" s="527"/>
      <x:c r="L17" s="527"/>
    </x:row>
    <x:row r="18" ht="30" customHeight="1">
      <x:c r="A18" s="529" t="str">
        <x:v>利用目的</x:v>
      </x:c>
      <x:c r="B18" s="527"/>
      <x:c r="C18" s="527"/>
      <x:c r="D18" s="596" t="str">
        <x:v>自宅の導入検討</x:v>
      </x:c>
      <x:c r="E18" s="596"/>
      <x:c r="F18" s="596"/>
      <x:c r="G18" s="534" t="str">
        <x:v>屋根条件</x:v>
      </x:c>
      <x:c r="H18" s="527"/>
      <x:c r="I18" s="527"/>
      <x:c r="J18" s="89" t="str">
        <x:v>南向き・傾斜30°固定</x:v>
      </x:c>
      <x:c r="K18" s="527"/>
      <x:c r="L18" s="527"/>
    </x:row>
    <x:row r="19">
      <x:c r="A19" s="527"/>
      <x:c r="B19" s="527"/>
      <x:c r="C19" s="527"/>
      <x:c r="D19" s="527"/>
      <x:c r="E19" s="527"/>
      <x:c r="F19" s="527"/>
      <x:c r="G19" s="527"/>
      <x:c r="H19" s="527"/>
      <x:c r="I19" s="527"/>
      <x:c r="J19" s="527"/>
      <x:c r="K19" s="527"/>
      <x:c r="L19" s="527"/>
    </x:row>
    <x:row r="20" ht="30" customHeight="1">
      <x:c r="A20" s="529" t="str">
        <x:v>日射データ</x:v>
      </x:c>
      <x:c r="B20" s="529"/>
      <x:c r="C20" s="529"/>
      <x:c r="D20" s="596" t="str">
        <x:v>標準日射データ</x:v>
      </x:c>
      <x:c r="E20" s="596"/>
      <x:c r="F20" s="596"/>
      <x:c r="G20" s="33" t="str">
        <x:v>この版は都道府県ごとの都道府県庁等注記代表点、南向き・傾斜30°の初期スクリーニングです。同じ県内でも日射・積雪・影・屋根条件は異なります。方位・傾斜・複数屋根面を補正した正式診断ではありません。</x:v>
      </x:c>
      <x:c r="H20" s="34"/>
      <x:c r="I20" s="34"/>
      <x:c r="J20" s="34"/>
      <x:c r="K20" s="34"/>
      <x:c r="L20" s="35"/>
    </x:row>
    <x:row r="21">
      <x:c r="A21" s="527"/>
      <x:c r="B21" s="527"/>
      <x:c r="C21" s="527"/>
      <x:c r="D21" s="527"/>
      <x:c r="E21" s="527"/>
      <x:c r="F21" s="527"/>
      <x:c r="G21" s="36"/>
      <x:c r="H21" s="37"/>
      <x:c r="I21" s="37"/>
      <x:c r="J21" s="37"/>
      <x:c r="K21" s="37"/>
      <x:c r="L21" s="38"/>
    </x:row>
    <x:row r="22">
      <x:c r="A22" s="187" t="str">
        <x:v>次に見るタブ</x:v>
      </x:c>
      <x:c r="B22" s="187"/>
      <x:c r="C22" s="187"/>
      <x:c r="D22" s="187"/>
      <x:c r="E22" s="187"/>
      <x:c r="F22" s="187"/>
      <x:c r="G22" s="36"/>
      <x:c r="H22" s="37"/>
      <x:c r="I22" s="37"/>
      <x:c r="J22" s="37"/>
      <x:c r="K22" s="37"/>
      <x:c r="L22" s="38"/>
    </x:row>
    <x:row r="23">
      <x:c r="A23" s="527"/>
      <x:c r="B23" s="527"/>
      <x:c r="C23" s="527"/>
      <x:c r="D23" s="527"/>
      <x:c r="E23" s="527"/>
      <x:c r="F23" s="527"/>
      <x:c r="G23" s="39"/>
      <x:c r="H23" s="40"/>
      <x:c r="I23" s="40"/>
      <x:c r="J23" s="40"/>
      <x:c r="K23" s="40"/>
      <x:c r="L23" s="41"/>
    </x:row>
    <x:row r="24">
      <x:c r="A24" s="535" t="str">
        <x:v>結果を見る →</x:v>
      </x:c>
      <x:c r="B24" s="536"/>
      <x:c r="C24" s="536"/>
      <x:c r="D24" s="536"/>
      <x:c r="E24" s="536"/>
      <x:c r="F24" s="537"/>
      <x:c r="G24" s="127" t="str">
        <x:f>IF('_設定'!$J$23=1,IF(D8=0,"入力状態：容量0 kW（計算対象外）","入力状態：PASS"),"入力エラー：青字セル・任意入力を確認")</x:f>
        <x:v>入力状態：PASS</x:v>
      </x:c>
      <x:c r="H24" s="128"/>
      <x:c r="I24" s="128"/>
      <x:c r="J24" s="128"/>
      <x:c r="K24" s="128"/>
      <x:c r="L24" s="129"/>
    </x:row>
    <x:row r="25">
      <x:c r="A25" s="538"/>
      <x:c r="B25" s="539"/>
      <x:c r="C25" s="539"/>
      <x:c r="D25" s="539"/>
      <x:c r="E25" s="539"/>
      <x:c r="F25" s="540"/>
      <x:c r="G25" s="130"/>
      <x:c r="H25" s="131"/>
      <x:c r="I25" s="131"/>
      <x:c r="J25" s="131"/>
      <x:c r="K25" s="131"/>
      <x:c r="L25" s="132"/>
    </x:row>
    <x:row r="26">
      <x:c r="A26" s="541"/>
      <x:c r="B26" s="542"/>
      <x:c r="C26" s="542"/>
      <x:c r="D26" s="542"/>
      <x:c r="E26" s="542"/>
      <x:c r="F26" s="543"/>
      <x:c r="G26" s="133"/>
      <x:c r="H26" s="134"/>
      <x:c r="I26" s="134"/>
      <x:c r="J26" s="134"/>
      <x:c r="K26" s="134"/>
      <x:c r="L26" s="135"/>
    </x:row>
    <x:row r="27">
      <x:c r="A27" s="527"/>
      <x:c r="B27" s="527"/>
      <x:c r="C27" s="527"/>
      <x:c r="D27" s="527"/>
      <x:c r="E27" s="527"/>
      <x:c r="F27" s="527"/>
      <x:c r="G27" s="527"/>
      <x:c r="H27" s="527"/>
      <x:c r="I27" s="527"/>
      <x:c r="J27" s="527"/>
      <x:c r="K27" s="527"/>
      <x:c r="L27" s="527"/>
    </x:row>
    <x:row r="28">
      <x:c r="A28" s="146" t="str">
        <x:v>本ファイルは公開版です。概算結果であり、正式見積・契約前には現地条件、屋根面、機器仕様、料金プラン、補助金条件を確認してください。</x:v>
      </x:c>
      <x:c r="B28" s="147"/>
      <x:c r="C28" s="147"/>
      <x:c r="D28" s="147"/>
      <x:c r="E28" s="147"/>
      <x:c r="F28" s="147"/>
      <x:c r="G28" s="147"/>
      <x:c r="H28" s="147"/>
      <x:c r="I28" s="147"/>
      <x:c r="J28" s="147"/>
      <x:c r="K28" s="147"/>
      <x:c r="L28" s="148"/>
    </x:row>
    <x:row r="29">
      <x:c r="A29" s="149"/>
      <x:c r="B29" s="150"/>
      <x:c r="C29" s="150"/>
      <x:c r="D29" s="150"/>
      <x:c r="E29" s="150"/>
      <x:c r="F29" s="150"/>
      <x:c r="G29" s="150"/>
      <x:c r="H29" s="150"/>
      <x:c r="I29" s="150"/>
      <x:c r="J29" s="150"/>
      <x:c r="K29" s="150"/>
      <x:c r="L29" s="151"/>
    </x:row>
    <x:row r="30">
      <x:c r="A30" s="149"/>
      <x:c r="B30" s="150"/>
      <x:c r="C30" s="150"/>
      <x:c r="D30" s="150"/>
      <x:c r="E30" s="150"/>
      <x:c r="F30" s="150"/>
      <x:c r="G30" s="150"/>
      <x:c r="H30" s="150"/>
      <x:c r="I30" s="150"/>
      <x:c r="J30" s="150"/>
      <x:c r="K30" s="150"/>
      <x:c r="L30" s="151"/>
    </x:row>
    <x:row r="31">
      <x:c r="A31" s="152"/>
      <x:c r="B31" s="153"/>
      <x:c r="C31" s="153"/>
      <x:c r="D31" s="153"/>
      <x:c r="E31" s="153"/>
      <x:c r="F31" s="153"/>
      <x:c r="G31" s="153"/>
      <x:c r="H31" s="153"/>
      <x:c r="I31" s="153"/>
      <x:c r="J31" s="153"/>
      <x:c r="K31" s="153"/>
      <x:c r="L31" s="154"/>
    </x:row>
    <x:row r="32">
      <x:c r="A32" s="527"/>
      <x:c r="B32" s="527"/>
      <x:c r="C32" s="527"/>
      <x:c r="D32" s="527"/>
      <x:c r="E32" s="527"/>
      <x:c r="F32" s="527"/>
      <x:c r="G32" s="527"/>
      <x:c r="H32" s="527"/>
      <x:c r="I32" s="527"/>
      <x:c r="J32" s="527"/>
      <x:c r="K32" s="527"/>
      <x:c r="L32" s="527"/>
    </x:row>
    <x:row r="33">
      <x:c r="A33" s="527"/>
      <x:c r="B33" s="527"/>
      <x:c r="C33" s="527"/>
      <x:c r="D33" s="527"/>
      <x:c r="E33" s="527"/>
      <x:c r="F33" s="527"/>
      <x:c r="G33" s="527"/>
      <x:c r="H33" s="527"/>
      <x:c r="I33" s="527"/>
      <x:c r="J33" s="527"/>
      <x:c r="K33" s="527"/>
      <x:c r="L33" s="527"/>
    </x:row>
    <x:row r="34">
      <x:c r="A34" s="527"/>
      <x:c r="B34" s="527"/>
      <x:c r="C34" s="527"/>
      <x:c r="D34" s="527"/>
      <x:c r="E34" s="527"/>
      <x:c r="F34" s="527"/>
      <x:c r="G34" s="527"/>
      <x:c r="H34" s="527"/>
      <x:c r="I34" s="527"/>
      <x:c r="J34" s="527"/>
      <x:c r="K34" s="527"/>
      <x:c r="L34" s="527"/>
    </x:row>
  </x:sheetData>
  <x:sheetProtection sheet="1" objects="0" scenarios="1" formatCells="1" formatColumns="1" formatRows="1" insertColumns="1" insertRows="1" insertHyperlinks="1" deleteColumns="1" deleteRows="1" selectLockedCells="0" selectUnlockedCells="0"/>
  <x:mergeCells>
    <x:mergeCell ref="A1:L2"/>
    <x:mergeCell ref="A3:L3"/>
    <x:mergeCell ref="A5:F5"/>
    <x:mergeCell ref="G5:L5"/>
    <x:mergeCell ref="A6:C6"/>
    <x:mergeCell ref="D6:F6"/>
    <x:mergeCell ref="A8:C8"/>
    <x:mergeCell ref="D8:F8"/>
    <x:mergeCell ref="A10:C10"/>
    <x:mergeCell ref="D10:F10"/>
    <x:mergeCell ref="A12:C12"/>
    <x:mergeCell ref="D12:F12"/>
    <x:mergeCell ref="A14:C14"/>
    <x:mergeCell ref="D14:F14"/>
    <x:mergeCell ref="A16:C16"/>
    <x:mergeCell ref="D16:F16"/>
    <x:mergeCell ref="A18:C18"/>
    <x:mergeCell ref="D18:F18"/>
    <x:mergeCell ref="A20:C20"/>
    <x:mergeCell ref="D20:F20"/>
    <x:mergeCell ref="G7:L9"/>
    <x:mergeCell ref="G10:L12"/>
    <x:mergeCell ref="G14:L14"/>
    <x:mergeCell ref="G16:I16"/>
    <x:mergeCell ref="J16:L16"/>
    <x:mergeCell ref="G18:I18"/>
    <x:mergeCell ref="J18:L18"/>
    <x:mergeCell ref="G20:L23"/>
    <x:mergeCell ref="A22:F22"/>
    <x:mergeCell ref="A24:F26"/>
    <x:mergeCell ref="G24:L26"/>
    <x:mergeCell ref="A28:L31"/>
  </x:mergeCells>
  <x:dataValidations count="8">
    <x:dataValidation type="list" sqref="D6" allowBlank="0" showErrorMessage="1" errorStyle="stop" errorTitle="入力値を確認してください" error="指定された範囲または候補から入力してください。">
      <x:formula1>PrefectureList</x:formula1>
    </x:dataValidation>
    <x:dataValidation type="decimal" operator="between" sqref="D8" allowBlank="0" showErrorMessage="1" errorStyle="stop" errorTitle="入力値を確認してください" error="指定された範囲または候補から入力してください。">
      <x:formula1>0</x:formula1>
      <x:formula2>9.9</x:formula2>
    </x:dataValidation>
    <x:dataValidation type="whole" operator="between" sqref="D10" allowBlank="0" showErrorMessage="1" errorStyle="stop" errorTitle="入力値を確認してください" error="指定された範囲または候補から入力してください。">
      <x:formula1>0</x:formula1>
      <x:formula2>30000</x:formula2>
    </x:dataValidation>
    <x:dataValidation type="list" sqref="D12" allowBlank="0" showErrorMessage="1" errorStyle="stop" errorTitle="入力値を確認してください" error="指定された範囲または候補から入力してください。">
      <x:formula1>"日中不在,一部在宅,在宅中心"</x:formula1>
    </x:dataValidation>
    <x:dataValidation type="whole" operator="between" sqref="D14" allowBlank="0" showErrorMessage="1" errorStyle="stop" errorTitle="入力値を確認してください" error="指定された範囲または候補から入力してください。">
      <x:formula1>0</x:formula1>
      <x:formula2>10000000</x:formula2>
    </x:dataValidation>
    <x:dataValidation type="whole" operator="between" sqref="D16" allowBlank="0" showErrorMessage="1" errorStyle="stop" errorTitle="入力値を確認してください" error="指定された範囲または候補から入力してください。">
      <x:formula1>0</x:formula1>
      <x:formula2>10000000</x:formula2>
    </x:dataValidation>
    <x:dataValidation type="list" sqref="D18" allowBlank="0" showErrorMessage="1" errorStyle="stop" errorTitle="入力値を確認してください" error="指定された範囲または候補から入力してください。">
      <x:formula1>"自宅の導入検討,顧客提案に使う,調査・学習"</x:formula1>
    </x:dataValidation>
    <x:dataValidation type="list" sqref="D20" allowBlank="0" showErrorMessage="1" errorStyle="stop" errorTitle="入力値を確認してください" error="指定された範囲または候補から入力してください。">
      <x:formula1>"標準日射データ,METPV-20等の入力"</x:formula1>
    </x:dataValidation>
  </x:dataValidations>
  <x:hyperlinks>
    <x:hyperlink ref="A24:F26" location="'結果サマリー'!A1" display="結果を見る →"/>
  </x:hyperlinks>
  <x:pageMargins left="0.25" right="0.25" top="0.4" bottom="0.4" header="0.2" footer="0.2"/>
  <x:pageSetup paperSize="9" orientation="landscape" fitToWidth="1" fitToHeight="1"/>
</x:worksheet>
</file>

<file path=xl/worksheets/sheet2.xml><?xml version="1.0" encoding="utf-8"?>
<x:worksheet xmlns:r="http://schemas.openxmlformats.org/officeDocument/2006/relationships" xmlns:x="http://schemas.openxmlformats.org/spreadsheetml/2006/main">
  <x:sheetPr>
    <x:pageSetUpPr fitToPage="1"/>
  </x:sheetPr>
  <x:sheetViews>
    <x:sheetView showGridLines="0" workbookViewId="0">
      <x:pane ySplit="3" topLeftCell="A4"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s>
  <x:sheetData>
    <x:row r="1">
      <x:c r="A1" s="526" t="str">
        <x:v>概算結果｜まずここを確認｜エネがえる</x:v>
      </x:c>
      <x:c r="B1" s="526"/>
      <x:c r="C1" s="526"/>
      <x:c r="D1" s="526"/>
      <x:c r="E1" s="526"/>
      <x:c r="F1" s="526"/>
      <x:c r="G1" s="526"/>
      <x:c r="H1" s="526"/>
      <x:c r="I1" s="526"/>
      <x:c r="J1" s="526"/>
      <x:c r="K1" s="526"/>
      <x:c r="L1" s="526"/>
      <x:c r="M1" s="526"/>
    </x:row>
    <x:row r="2">
      <x:c r="A2" s="526"/>
      <x:c r="B2" s="526"/>
      <x:c r="C2" s="526"/>
      <x:c r="D2" s="526"/>
      <x:c r="E2" s="526"/>
      <x:c r="F2" s="526"/>
      <x:c r="G2" s="526"/>
      <x:c r="H2" s="526"/>
      <x:c r="I2" s="526"/>
      <x:c r="J2" s="526"/>
      <x:c r="K2" s="526"/>
      <x:c r="L2" s="526"/>
      <x:c r="M2" s="526"/>
    </x:row>
    <x:row r="3">
      <x:c r="A3" s="8" t="str">
        <x:v>都道府県庁等代表点・南30°のスクリーニング結果です。表示丸め前の値で月次・年次計算しています。</x:v>
      </x:c>
      <x:c r="B3" s="8"/>
      <x:c r="C3" s="8"/>
      <x:c r="D3" s="8"/>
      <x:c r="E3" s="8"/>
      <x:c r="F3" s="8"/>
      <x:c r="G3" s="8"/>
      <x:c r="H3" s="8"/>
      <x:c r="I3" s="8"/>
      <x:c r="J3" s="8"/>
      <x:c r="K3" s="8"/>
      <x:c r="L3" s="8"/>
      <x:c r="M3" s="8"/>
    </x:row>
    <x:row r="4">
      <x:c r="A4" s="275" t="str">
        <x:f>IF('_設定'!$J$23=1,IF('3分入力'!$D$8=0,"入力状態：容量0 kWのため計算対象外","入力状態：PASS"),"入力エラー：『3分入力』『詳細設定』または任意日射24セルを確認してください")</x:f>
        <x:v>入力状態：PASS</x:v>
      </x:c>
      <x:c r="B4" s="275"/>
      <x:c r="C4" s="275"/>
      <x:c r="D4" s="275"/>
      <x:c r="E4" s="275"/>
      <x:c r="F4" s="275"/>
      <x:c r="G4" s="275"/>
      <x:c r="H4" s="275"/>
      <x:c r="I4" s="275"/>
      <x:c r="J4" s="275"/>
      <x:c r="K4" s="275"/>
      <x:c r="L4" s="275"/>
      <x:c r="M4" s="275"/>
    </x:row>
    <x:row r="5">
      <x:c r="A5" s="278" t="str">
        <x:f>"地点："&amp;'3分入力'!$D$6&amp;" / "&amp;IF('3分入力'!$D$20="METPV-20等の入力",IF('METPV-20入力'!$C$24="","任意入力",'METPV-20入力'!$C$24),IFERROR(VLOOKUP('3分入力'!$D$6,'_地点データ'!$A$5:$AE$51,3,FALSE),"入力不正"))</x:f>
        <x:v>地点：東京都 / 東京都庁（新宿区）</x:v>
      </x:c>
      <x:c r="B5" s="278"/>
      <x:c r="C5" s="278"/>
      <x:c r="D5" s="278" t="str">
        <x:f>"容量："&amp;TEXT(MAX('3分入力'!$D$8,0),"0.0")&amp;" kW"</x:f>
        <x:v>容量：5.0 kW</x:v>
      </x:c>
      <x:c r="E5" s="278"/>
      <x:c r="F5" s="278"/>
      <x:c r="G5" s="278" t="str">
        <x:f>IF('_設定'!$J$23=0,"初期負担：入力エラー",IF('3分入力'!$D$8=0,"初期負担：対象外","初期負担："&amp;TEXT('_設定'!$F$23,"#,##0")&amp;" 円"))</x:f>
        <x:v>初期負担：1,500,000 円</x:v>
      </x:c>
      <x:c r="H5" s="278"/>
      <x:c r="I5" s="278"/>
      <x:c r="J5" s="278" t="str">
        <x:f>'3分入力'!$D$18&amp;" / "&amp;'3分入力'!$D$20&amp;" / 南30° / 上限 "&amp;TEXT('詳細設定'!$D$15,"0%")</x:f>
        <x:v>自宅の導入検討 / 標準日射データ / 南30° / 上限 40%</x:v>
      </x:c>
      <x:c r="K5" s="278"/>
      <x:c r="L5" s="278"/>
      <x:c r="M5" s="278"/>
    </x:row>
    <x:row r="6">
      <x:c r="A6" s="544" t="str">
        <x:v>初年度 推定発電量</x:v>
      </x:c>
      <x:c r="B6" s="544"/>
      <x:c r="C6" s="544"/>
      <x:c r="D6" s="544"/>
      <x:c r="E6" s="544" t="str">
        <x:v>初年度 経済効果</x:v>
      </x:c>
      <x:c r="F6" s="544"/>
      <x:c r="G6" s="544"/>
      <x:c r="H6" s="544"/>
      <x:c r="I6" s="544" t="str">
        <x:v>恒久回収年</x:v>
      </x:c>
      <x:c r="J6" s="544"/>
      <x:c r="K6" s="544"/>
      <x:c r="L6" s="544"/>
      <x:c r="M6" s="544"/>
    </x:row>
    <x:row r="7" ht="24" customHeight="1">
      <x:c r="A7" s="306" t="n">
        <x:f>IF('_設定'!$J$23=0,"入力エラー",IF('3分入力'!$D$8=0,"対象外",'_計算月次'!$J$17))</x:f>
        <x:v>5764.939650333731</x:v>
      </x:c>
      <x:c r="B7" s="307"/>
      <x:c r="C7" s="307"/>
      <x:c r="D7" s="308"/>
      <x:c r="E7" s="342" t="n">
        <x:f>IF('_設定'!$J$23=0,"入力エラー",IF('3分入力'!$D$8=0,"対象外",'_計算月次'!$P$17))</x:f>
        <x:v>163724.28606947794</x:v>
      </x:c>
      <x:c r="F7" s="343"/>
      <x:c r="G7" s="343"/>
      <x:c r="H7" s="344"/>
      <x:c r="I7" s="378" t="n">
        <x:f>IF('_設定'!$J$23=0,"入力エラー",IF('3分入力'!$D$8=0,"対象外",IF('_設定'!$F$23=0,"初期負担0円",IF(COUNT('_計算年次'!$M$6:$M$25)=0,"20年内未回収",MIN('_計算年次'!$M$6:$M$25)))))</x:f>
        <x:v>14</x:v>
      </x:c>
      <x:c r="J7" s="379"/>
      <x:c r="K7" s="379"/>
      <x:c r="L7" s="379"/>
      <x:c r="M7" s="380"/>
    </x:row>
    <x:row r="8" ht="24" customHeight="1">
      <x:c r="A8" s="309"/>
      <x:c r="B8" s="310"/>
      <x:c r="C8" s="310"/>
      <x:c r="D8" s="311"/>
      <x:c r="E8" s="345"/>
      <x:c r="F8" s="346"/>
      <x:c r="G8" s="346"/>
      <x:c r="H8" s="347"/>
      <x:c r="I8" s="381"/>
      <x:c r="J8" s="382"/>
      <x:c r="K8" s="382"/>
      <x:c r="L8" s="382"/>
      <x:c r="M8" s="383"/>
    </x:row>
    <x:row r="9" ht="24" customHeight="1">
      <x:c r="A9" s="309"/>
      <x:c r="B9" s="310"/>
      <x:c r="C9" s="310"/>
      <x:c r="D9" s="311"/>
      <x:c r="E9" s="345"/>
      <x:c r="F9" s="346"/>
      <x:c r="G9" s="346"/>
      <x:c r="H9" s="347"/>
      <x:c r="I9" s="381"/>
      <x:c r="J9" s="382"/>
      <x:c r="K9" s="382"/>
      <x:c r="L9" s="382"/>
      <x:c r="M9" s="383"/>
    </x:row>
    <x:row r="10" ht="24" customHeight="1">
      <x:c r="A10" s="312"/>
      <x:c r="B10" s="313"/>
      <x:c r="C10" s="313"/>
      <x:c r="D10" s="314"/>
      <x:c r="E10" s="348"/>
      <x:c r="F10" s="349"/>
      <x:c r="G10" s="349"/>
      <x:c r="H10" s="350"/>
      <x:c r="I10" s="384"/>
      <x:c r="J10" s="385"/>
      <x:c r="K10" s="385"/>
      <x:c r="L10" s="385"/>
      <x:c r="M10" s="386"/>
    </x:row>
    <x:row r="11" ht="24" customHeight="1">
      <x:c r="A11" s="544" t="str">
        <x:v>20年累積損益（割引前・初期費用控除後）</x:v>
      </x:c>
      <x:c r="B11" s="544"/>
      <x:c r="C11" s="544"/>
      <x:c r="D11" s="544"/>
      <x:c r="E11" s="544" t="str">
        <x:v>初年度 自給率</x:v>
      </x:c>
      <x:c r="F11" s="544"/>
      <x:c r="G11" s="544"/>
      <x:c r="H11" s="544"/>
      <x:c r="I11" s="544" t="str">
        <x:v>20年 損益分岐設置費（割引前）</x:v>
      </x:c>
      <x:c r="J11" s="544"/>
      <x:c r="K11" s="544"/>
      <x:c r="L11" s="544"/>
      <x:c r="M11" s="544"/>
    </x:row>
    <x:row r="12" ht="24" customHeight="1">
      <x:c r="A12" s="405" t="n">
        <x:f>IF('_設定'!$J$23=0,"入力エラー",IF('3分入力'!$D$8=0,"対象外",'_計算年次'!$L$25))</x:f>
        <x:v>818546.1238642575</x:v>
      </x:c>
      <x:c r="B12" s="406"/>
      <x:c r="C12" s="406"/>
      <x:c r="D12" s="407"/>
      <x:c r="E12" s="432" t="n">
        <x:f>IF('_設定'!$J$23=0,"入力エラー",IF('3分入力'!$D$8=0,"対象外",IF('3分入力'!$D$10=0,0,'_計算月次'!$L$17/'3分入力'!$D$10)))</x:f>
        <x:v>0.512439080029665</x:v>
      </x:c>
      <x:c r="F12" s="433"/>
      <x:c r="G12" s="433"/>
      <x:c r="H12" s="434"/>
      <x:c r="I12" s="459" t="n">
        <x:f>IF('_設定'!$J$23=0,"入力エラー",IF('3分入力'!$D$8=0,"対象外",MAX(0,'_設定'!$F$21+SUM('_計算年次'!$K$6:$K$25))))</x:f>
        <x:v>2318546.1238642572</x:v>
      </x:c>
      <x:c r="J12" s="460"/>
      <x:c r="K12" s="460"/>
      <x:c r="L12" s="460"/>
      <x:c r="M12" s="461"/>
    </x:row>
    <x:row r="13" ht="24" customHeight="1">
      <x:c r="A13" s="408"/>
      <x:c r="B13" s="409"/>
      <x:c r="C13" s="409"/>
      <x:c r="D13" s="410"/>
      <x:c r="E13" s="435"/>
      <x:c r="F13" s="436"/>
      <x:c r="G13" s="436"/>
      <x:c r="H13" s="437"/>
      <x:c r="I13" s="462"/>
      <x:c r="J13" s="463"/>
      <x:c r="K13" s="463"/>
      <x:c r="L13" s="463"/>
      <x:c r="M13" s="464"/>
    </x:row>
    <x:row r="14" ht="24" customHeight="1">
      <x:c r="A14" s="408"/>
      <x:c r="B14" s="409"/>
      <x:c r="C14" s="409"/>
      <x:c r="D14" s="410"/>
      <x:c r="E14" s="435"/>
      <x:c r="F14" s="436"/>
      <x:c r="G14" s="436"/>
      <x:c r="H14" s="437"/>
      <x:c r="I14" s="462"/>
      <x:c r="J14" s="463"/>
      <x:c r="K14" s="463"/>
      <x:c r="L14" s="463"/>
      <x:c r="M14" s="464"/>
    </x:row>
    <x:row r="15" ht="24" customHeight="1">
      <x:c r="A15" s="411"/>
      <x:c r="B15" s="412"/>
      <x:c r="C15" s="412"/>
      <x:c r="D15" s="413"/>
      <x:c r="E15" s="438"/>
      <x:c r="F15" s="439"/>
      <x:c r="G15" s="439"/>
      <x:c r="H15" s="440"/>
      <x:c r="I15" s="465"/>
      <x:c r="J15" s="466"/>
      <x:c r="K15" s="466"/>
      <x:c r="L15" s="466"/>
      <x:c r="M15" s="467"/>
    </x:row>
    <x:row r="16">
      <x:c r="A16" s="527"/>
      <x:c r="B16" s="527"/>
      <x:c r="C16" s="527"/>
      <x:c r="D16" s="527"/>
      <x:c r="E16" s="527"/>
      <x:c r="F16" s="527"/>
      <x:c r="G16" s="527"/>
      <x:c r="H16" s="527"/>
      <x:c r="I16" s="527"/>
      <x:c r="J16" s="527"/>
      <x:c r="K16" s="527"/>
      <x:c r="L16" s="527"/>
      <x:c r="M16" s="527"/>
    </x:row>
    <x:row r="17">
      <x:c r="A17" s="545" t="str">
        <x:v>家庭向け：販売施工店へ相談 →</x:v>
      </x:c>
      <x:c r="B17" s="546"/>
      <x:c r="C17" s="546"/>
      <x:c r="D17" s="546"/>
      <x:c r="E17" s="546"/>
      <x:c r="F17" s="547"/>
      <x:c r="G17" s="527"/>
      <x:c r="H17" s="548" t="str">
        <x:v>事業者向け：プロダクトツアー →</x:v>
      </x:c>
      <x:c r="I17" s="549"/>
      <x:c r="J17" s="549"/>
      <x:c r="K17" s="549"/>
      <x:c r="L17" s="549"/>
      <x:c r="M17" s="550"/>
    </x:row>
    <x:row r="18">
      <x:c r="A18" s="187" t="str">
        <x:v>月間発電量</x:v>
      </x:c>
      <x:c r="B18" s="187"/>
      <x:c r="C18" s="187"/>
      <x:c r="D18" s="187"/>
      <x:c r="E18" s="187"/>
      <x:c r="F18" s="187"/>
      <x:c r="G18" s="527"/>
      <x:c r="H18" s="528" t="str">
        <x:v>累積キャッシュフロー</x:v>
      </x:c>
      <x:c r="I18" s="528"/>
      <x:c r="J18" s="528"/>
      <x:c r="K18" s="528"/>
      <x:c r="L18" s="528"/>
      <x:c r="M18" s="528"/>
    </x:row>
    <x:row r="19">
      <x:c r="A19" s="527"/>
      <x:c r="B19" s="527"/>
      <x:c r="C19" s="527"/>
      <x:c r="D19" s="527"/>
      <x:c r="E19" s="527"/>
      <x:c r="F19" s="527"/>
      <x:c r="G19" s="527"/>
      <x:c r="H19" s="527"/>
      <x:c r="I19" s="527"/>
      <x:c r="J19" s="527"/>
      <x:c r="K19" s="527"/>
      <x:c r="L19" s="527"/>
      <x:c r="M19" s="527"/>
    </x:row>
    <x:row r="20">
      <x:c r="A20" s="527"/>
      <x:c r="B20" s="527"/>
      <x:c r="C20" s="527"/>
      <x:c r="D20" s="527"/>
      <x:c r="E20" s="527"/>
      <x:c r="F20" s="527"/>
      <x:c r="G20" s="527"/>
      <x:c r="H20" s="527"/>
      <x:c r="I20" s="527"/>
      <x:c r="J20" s="527"/>
      <x:c r="K20" s="527"/>
      <x:c r="L20" s="527"/>
      <x:c r="M20" s="527"/>
    </x:row>
    <x:row r="21">
      <x:c r="A21" s="527"/>
      <x:c r="B21" s="527"/>
      <x:c r="C21" s="527"/>
      <x:c r="D21" s="527"/>
      <x:c r="E21" s="527"/>
      <x:c r="F21" s="527"/>
      <x:c r="G21" s="527"/>
      <x:c r="H21" s="527"/>
      <x:c r="I21" s="527"/>
      <x:c r="J21" s="527"/>
      <x:c r="K21" s="527"/>
      <x:c r="L21" s="527"/>
      <x:c r="M21" s="527"/>
    </x:row>
    <x:row r="22">
      <x:c r="A22" s="527"/>
      <x:c r="B22" s="527"/>
      <x:c r="C22" s="527"/>
      <x:c r="D22" s="527"/>
      <x:c r="E22" s="527"/>
      <x:c r="F22" s="527"/>
      <x:c r="G22" s="527"/>
      <x:c r="H22" s="527"/>
      <x:c r="I22" s="527"/>
      <x:c r="J22" s="527"/>
      <x:c r="K22" s="527"/>
      <x:c r="L22" s="527"/>
      <x:c r="M22" s="527"/>
    </x:row>
    <x:row r="23">
      <x:c r="A23" s="527"/>
      <x:c r="B23" s="527"/>
      <x:c r="C23" s="527"/>
      <x:c r="D23" s="527"/>
      <x:c r="E23" s="527"/>
      <x:c r="F23" s="527"/>
      <x:c r="G23" s="527"/>
      <x:c r="H23" s="527"/>
      <x:c r="I23" s="527"/>
      <x:c r="J23" s="527"/>
      <x:c r="K23" s="527"/>
      <x:c r="L23" s="527"/>
      <x:c r="M23" s="527"/>
    </x:row>
    <x:row r="24">
      <x:c r="A24" s="527"/>
      <x:c r="B24" s="527"/>
      <x:c r="C24" s="527"/>
      <x:c r="D24" s="527"/>
      <x:c r="E24" s="527"/>
      <x:c r="F24" s="527"/>
      <x:c r="G24" s="527"/>
      <x:c r="H24" s="527"/>
      <x:c r="I24" s="527"/>
      <x:c r="J24" s="527"/>
      <x:c r="K24" s="527"/>
      <x:c r="L24" s="527"/>
      <x:c r="M24" s="527"/>
    </x:row>
    <x:row r="25">
      <x:c r="A25" s="527"/>
      <x:c r="B25" s="527"/>
      <x:c r="C25" s="527"/>
      <x:c r="D25" s="527"/>
      <x:c r="E25" s="527"/>
      <x:c r="F25" s="527"/>
      <x:c r="G25" s="527"/>
      <x:c r="H25" s="527"/>
      <x:c r="I25" s="527"/>
      <x:c r="J25" s="527"/>
      <x:c r="K25" s="527"/>
      <x:c r="L25" s="527"/>
      <x:c r="M25" s="527"/>
    </x:row>
    <x:row r="26">
      <x:c r="A26" s="527"/>
      <x:c r="B26" s="527"/>
      <x:c r="C26" s="527"/>
      <x:c r="D26" s="527"/>
      <x:c r="E26" s="527"/>
      <x:c r="F26" s="527"/>
      <x:c r="G26" s="527"/>
      <x:c r="H26" s="527"/>
      <x:c r="I26" s="527"/>
      <x:c r="J26" s="527"/>
      <x:c r="K26" s="527"/>
      <x:c r="L26" s="527"/>
      <x:c r="M26" s="527"/>
    </x:row>
    <x:row r="27">
      <x:c r="A27" s="527"/>
      <x:c r="B27" s="527"/>
      <x:c r="C27" s="527"/>
      <x:c r="D27" s="527"/>
      <x:c r="E27" s="527"/>
      <x:c r="F27" s="527"/>
      <x:c r="G27" s="527"/>
      <x:c r="H27" s="527"/>
      <x:c r="I27" s="527"/>
      <x:c r="J27" s="527"/>
      <x:c r="K27" s="527"/>
      <x:c r="L27" s="527"/>
      <x:c r="M27" s="527"/>
    </x:row>
    <x:row r="28">
      <x:c r="A28" s="527"/>
      <x:c r="B28" s="527"/>
      <x:c r="C28" s="527"/>
      <x:c r="D28" s="527"/>
      <x:c r="E28" s="527"/>
      <x:c r="F28" s="527"/>
      <x:c r="G28" s="527"/>
      <x:c r="H28" s="527"/>
      <x:c r="I28" s="527"/>
      <x:c r="J28" s="527"/>
      <x:c r="K28" s="527"/>
      <x:c r="L28" s="527"/>
      <x:c r="M28" s="527"/>
    </x:row>
    <x:row r="29">
      <x:c r="A29" s="527"/>
      <x:c r="B29" s="527"/>
      <x:c r="C29" s="527"/>
      <x:c r="D29" s="527"/>
      <x:c r="E29" s="527"/>
      <x:c r="F29" s="527"/>
      <x:c r="G29" s="527"/>
      <x:c r="H29" s="527"/>
      <x:c r="I29" s="527"/>
      <x:c r="J29" s="527"/>
      <x:c r="K29" s="527"/>
      <x:c r="L29" s="527"/>
      <x:c r="M29" s="527"/>
    </x:row>
    <x:row r="30">
      <x:c r="A30" s="527"/>
      <x:c r="B30" s="527"/>
      <x:c r="C30" s="527"/>
      <x:c r="D30" s="527"/>
      <x:c r="E30" s="527"/>
      <x:c r="F30" s="527"/>
      <x:c r="G30" s="527"/>
      <x:c r="H30" s="527"/>
      <x:c r="I30" s="527"/>
      <x:c r="J30" s="527"/>
      <x:c r="K30" s="527"/>
      <x:c r="L30" s="527"/>
      <x:c r="M30" s="527"/>
    </x:row>
    <x:row r="31">
      <x:c r="A31" s="527"/>
      <x:c r="B31" s="527"/>
      <x:c r="C31" s="527"/>
      <x:c r="D31" s="527"/>
      <x:c r="E31" s="527"/>
      <x:c r="F31" s="527"/>
      <x:c r="G31" s="527"/>
      <x:c r="H31" s="527"/>
      <x:c r="I31" s="527"/>
      <x:c r="J31" s="527"/>
      <x:c r="K31" s="527"/>
      <x:c r="L31" s="527"/>
      <x:c r="M31" s="527"/>
    </x:row>
    <x:row r="32">
      <x:c r="A32" s="527"/>
      <x:c r="B32" s="527"/>
      <x:c r="C32" s="527"/>
      <x:c r="D32" s="527"/>
      <x:c r="E32" s="527"/>
      <x:c r="F32" s="527"/>
      <x:c r="G32" s="527"/>
      <x:c r="H32" s="527"/>
      <x:c r="I32" s="527"/>
      <x:c r="J32" s="527"/>
      <x:c r="K32" s="527"/>
      <x:c r="L32" s="527"/>
      <x:c r="M32" s="527"/>
    </x:row>
    <x:row r="33">
      <x:c r="A33" s="527"/>
      <x:c r="B33" s="527"/>
      <x:c r="C33" s="527"/>
      <x:c r="D33" s="527"/>
      <x:c r="E33" s="527"/>
      <x:c r="F33" s="527"/>
      <x:c r="G33" s="527"/>
      <x:c r="H33" s="527"/>
      <x:c r="I33" s="527"/>
      <x:c r="J33" s="527"/>
      <x:c r="K33" s="527"/>
      <x:c r="L33" s="527"/>
      <x:c r="M33" s="527"/>
    </x:row>
    <x:row r="34">
      <x:c r="A34" s="527"/>
      <x:c r="B34" s="527"/>
      <x:c r="C34" s="527"/>
      <x:c r="D34" s="527"/>
      <x:c r="E34" s="527"/>
      <x:c r="F34" s="527"/>
      <x:c r="G34" s="527"/>
      <x:c r="H34" s="527"/>
      <x:c r="I34" s="527"/>
      <x:c r="J34" s="527"/>
      <x:c r="K34" s="527"/>
      <x:c r="L34" s="527"/>
      <x:c r="M34" s="527"/>
    </x:row>
    <x:row r="35">
      <x:c r="A35" s="527"/>
      <x:c r="B35" s="527"/>
      <x:c r="C35" s="527"/>
      <x:c r="D35" s="527"/>
      <x:c r="E35" s="527"/>
      <x:c r="F35" s="527"/>
      <x:c r="G35" s="527"/>
      <x:c r="H35" s="527"/>
      <x:c r="I35" s="527"/>
      <x:c r="J35" s="527"/>
      <x:c r="K35" s="527"/>
      <x:c r="L35" s="527"/>
      <x:c r="M35" s="527"/>
    </x:row>
    <x:row r="36">
      <x:c r="A36" s="187" t="str">
        <x:v>初年度の内訳</x:v>
      </x:c>
      <x:c r="B36" s="187"/>
      <x:c r="C36" s="187"/>
      <x:c r="D36" s="187"/>
      <x:c r="E36" s="187"/>
      <x:c r="F36" s="187"/>
      <x:c r="G36" s="187"/>
      <x:c r="H36" s="187"/>
      <x:c r="I36" s="187"/>
      <x:c r="J36" s="187"/>
      <x:c r="K36" s="187"/>
      <x:c r="L36" s="187"/>
      <x:c r="M36" s="187"/>
    </x:row>
    <x:row r="37">
      <x:c r="A37" s="20" t="str">
        <x:v>電気代削減</x:v>
      </x:c>
      <x:c r="B37" s="20"/>
      <x:c r="C37" s="20"/>
      <x:c r="D37" s="190" t="n">
        <x:f>IF('_設定'!$J$23=0,"—",'_計算月次'!$N$17)</x:f>
        <x:v>80709.15510467225</x:v>
      </x:c>
      <x:c r="E37" s="190"/>
      <x:c r="F37" s="190"/>
      <x:c r="G37" s="20" t="str">
        <x:v>自家消費量</x:v>
      </x:c>
      <x:c r="H37" s="20"/>
      <x:c r="I37" s="20"/>
      <x:c r="J37" s="551" t="n">
        <x:f>IF('_設定'!$J$23=0,"—",'_計算月次'!$L$17)</x:f>
        <x:v>2305.9758601334925</x:v>
      </x:c>
      <x:c r="K37" s="551"/>
      <x:c r="L37" s="551"/>
      <x:c r="M37" s="551"/>
    </x:row>
    <x:row r="38">
      <x:c r="A38" s="20" t="str">
        <x:v>売電収入</x:v>
      </x:c>
      <x:c r="B38" s="20"/>
      <x:c r="C38" s="20"/>
      <x:c r="D38" s="190" t="n">
        <x:f>IF('_設定'!$J$23=0,"—",'_計算月次'!$O$17)</x:f>
        <x:v>83015.13096480572</x:v>
      </x:c>
      <x:c r="E38" s="190"/>
      <x:c r="F38" s="190"/>
      <x:c r="G38" s="20" t="str">
        <x:v>売電量</x:v>
      </x:c>
      <x:c r="H38" s="20"/>
      <x:c r="I38" s="20"/>
      <x:c r="J38" s="551" t="n">
        <x:f>IF('_設定'!$J$23=0,"—",'_計算月次'!$M$17)</x:f>
        <x:v>3458.9637902002387</x:v>
      </x:c>
      <x:c r="K38" s="551"/>
      <x:c r="L38" s="551"/>
      <x:c r="M38" s="551"/>
    </x:row>
    <x:row r="39">
      <x:c r="A39" s="552" t="str">
        <x:v>合計</x:v>
      </x:c>
      <x:c r="B39" s="552"/>
      <x:c r="C39" s="552"/>
      <x:c r="D39" s="553" t="n">
        <x:f>IF('_設定'!$J$23=0,"—",'_計算月次'!$P$17)</x:f>
        <x:v>163724.28606947794</x:v>
      </x:c>
      <x:c r="E39" s="553"/>
      <x:c r="F39" s="553"/>
      <x:c r="G39" s="20" t="str">
        <x:v>買電量</x:v>
      </x:c>
      <x:c r="H39" s="20"/>
      <x:c r="I39" s="20"/>
      <x:c r="J39" s="551" t="n">
        <x:f>IF('_設定'!$J$23=0,"—",MAX('3分入力'!$D$10-'_計算月次'!$L$17,0))</x:f>
        <x:v>2194.0241398665075</x:v>
      </x:c>
      <x:c r="K39" s="551"/>
      <x:c r="L39" s="551"/>
      <x:c r="M39" s="551"/>
    </x:row>
    <x:row r="40">
      <x:c r="A40" s="527"/>
      <x:c r="B40" s="527"/>
      <x:c r="C40" s="527"/>
      <x:c r="D40" s="527"/>
      <x:c r="E40" s="527"/>
      <x:c r="F40" s="527"/>
      <x:c r="G40" s="527"/>
      <x:c r="H40" s="527"/>
      <x:c r="I40" s="527"/>
      <x:c r="J40" s="527"/>
      <x:c r="K40" s="527"/>
      <x:c r="L40" s="527"/>
      <x:c r="M40" s="527"/>
    </x:row>
    <x:row r="41">
      <x:c r="A41" s="527"/>
      <x:c r="B41" s="527"/>
      <x:c r="C41" s="527"/>
      <x:c r="D41" s="527"/>
      <x:c r="E41" s="527"/>
      <x:c r="F41" s="527"/>
      <x:c r="G41" s="527"/>
      <x:c r="H41" s="527"/>
      <x:c r="I41" s="527"/>
      <x:c r="J41" s="527"/>
      <x:c r="K41" s="527"/>
      <x:c r="L41" s="527"/>
      <x:c r="M41" s="527"/>
    </x:row>
    <x:row r="42">
      <x:c r="A42" s="187" t="str">
        <x:v>ご自宅の条件で確かめたい方</x:v>
      </x:c>
      <x:c r="B42" s="187"/>
      <x:c r="C42" s="187"/>
      <x:c r="D42" s="187"/>
      <x:c r="E42" s="187"/>
      <x:c r="F42" s="187"/>
      <x:c r="G42" s="527"/>
      <x:c r="H42" s="528" t="str">
        <x:v>顧客提案に使う販売施工店・事業者の方</x:v>
      </x:c>
      <x:c r="I42" s="528"/>
      <x:c r="J42" s="528"/>
      <x:c r="K42" s="528"/>
      <x:c r="L42" s="528"/>
      <x:c r="M42" s="528"/>
    </x:row>
    <x:row r="43">
      <x:c r="A43" s="79" t="str">
        <x:v>屋根条件・見積・料金プランまで確認できる、エネがえるを活用している販売施工店をご案内します。地域・条件により紹介できない場合があります。</x:v>
      </x:c>
      <x:c r="B43" s="80"/>
      <x:c r="C43" s="80"/>
      <x:c r="D43" s="80"/>
      <x:c r="E43" s="80"/>
      <x:c r="F43" s="81"/>
      <x:c r="G43" s="527"/>
      <x:c r="H43" s="79" t="str">
        <x:v>ASP / Biz / EV・V2H / API / BPO / 経済効果シミュレーション保証を用途別にご案内。無料Excelは初期確認、反復提案・正式帳票は各プロダクトへ。</x:v>
      </x:c>
      <x:c r="I43" s="80"/>
      <x:c r="J43" s="80"/>
      <x:c r="K43" s="80"/>
      <x:c r="L43" s="80"/>
      <x:c r="M43" s="81"/>
    </x:row>
    <x:row r="44">
      <x:c r="A44" s="82"/>
      <x:c r="B44" s="83"/>
      <x:c r="C44" s="83"/>
      <x:c r="D44" s="83"/>
      <x:c r="E44" s="83"/>
      <x:c r="F44" s="84"/>
      <x:c r="G44" s="527"/>
      <x:c r="H44" s="82"/>
      <x:c r="I44" s="83"/>
      <x:c r="J44" s="83"/>
      <x:c r="K44" s="83"/>
      <x:c r="L44" s="83"/>
      <x:c r="M44" s="84"/>
    </x:row>
    <x:row r="45">
      <x:c r="A45" s="82"/>
      <x:c r="B45" s="83"/>
      <x:c r="C45" s="83"/>
      <x:c r="D45" s="83"/>
      <x:c r="E45" s="83"/>
      <x:c r="F45" s="84"/>
      <x:c r="G45" s="527"/>
      <x:c r="H45" s="82"/>
      <x:c r="I45" s="83"/>
      <x:c r="J45" s="83"/>
      <x:c r="K45" s="83"/>
      <x:c r="L45" s="83"/>
      <x:c r="M45" s="84"/>
    </x:row>
    <x:row r="46">
      <x:c r="A46" s="85"/>
      <x:c r="B46" s="86"/>
      <x:c r="C46" s="86"/>
      <x:c r="D46" s="86"/>
      <x:c r="E46" s="86"/>
      <x:c r="F46" s="87"/>
      <x:c r="G46" s="527"/>
      <x:c r="H46" s="85"/>
      <x:c r="I46" s="86"/>
      <x:c r="J46" s="86"/>
      <x:c r="K46" s="86"/>
      <x:c r="L46" s="86"/>
      <x:c r="M46" s="87"/>
    </x:row>
    <x:row r="47">
      <x:c r="A47" s="554" t="str">
        <x:v>販売施工店の紹介を無料で相談する →</x:v>
      </x:c>
      <x:c r="B47" s="555"/>
      <x:c r="C47" s="555"/>
      <x:c r="D47" s="555"/>
      <x:c r="E47" s="555"/>
      <x:c r="F47" s="556"/>
      <x:c r="G47" s="527"/>
      <x:c r="H47" s="505" t="str">
        <x:v>全プロダクトツアーを見る →</x:v>
      </x:c>
      <x:c r="I47" s="505"/>
      <x:c r="J47" s="505"/>
      <x:c r="K47" s="505"/>
      <x:c r="L47" s="505"/>
      <x:c r="M47" s="505"/>
    </x:row>
    <x:row r="48">
      <x:c r="A48" s="557"/>
      <x:c r="B48" s="558"/>
      <x:c r="C48" s="558"/>
      <x:c r="D48" s="558"/>
      <x:c r="E48" s="558"/>
      <x:c r="F48" s="559"/>
      <x:c r="G48" s="527"/>
      <x:c r="H48" s="505"/>
      <x:c r="I48" s="505"/>
      <x:c r="J48" s="505"/>
      <x:c r="K48" s="505"/>
      <x:c r="L48" s="505"/>
      <x:c r="M48" s="505"/>
    </x:row>
    <x:row r="49">
      <x:c r="A49" s="557"/>
      <x:c r="B49" s="558"/>
      <x:c r="C49" s="558"/>
      <x:c r="D49" s="558"/>
      <x:c r="E49" s="558"/>
      <x:c r="F49" s="559"/>
      <x:c r="G49" s="527"/>
      <x:c r="H49" s="505" t="str">
        <x:v>料金・無料トライアル →</x:v>
      </x:c>
      <x:c r="I49" s="505"/>
      <x:c r="J49" s="505"/>
      <x:c r="K49" s="505"/>
      <x:c r="L49" s="505"/>
      <x:c r="M49" s="505"/>
    </x:row>
    <x:row r="50">
      <x:c r="A50" s="560"/>
      <x:c r="B50" s="561"/>
      <x:c r="C50" s="561"/>
      <x:c r="D50" s="561"/>
      <x:c r="E50" s="561"/>
      <x:c r="F50" s="562"/>
      <x:c r="G50" s="527"/>
      <x:c r="H50" s="505"/>
      <x:c r="I50" s="505"/>
      <x:c r="J50" s="505"/>
      <x:c r="K50" s="505"/>
      <x:c r="L50" s="505"/>
      <x:c r="M50" s="505"/>
    </x:row>
    <x:row r="51">
      <x:c r="A51" s="527"/>
      <x:c r="B51" s="527"/>
      <x:c r="C51" s="527"/>
      <x:c r="D51" s="527"/>
      <x:c r="E51" s="527"/>
      <x:c r="F51" s="527"/>
      <x:c r="G51" s="527"/>
      <x:c r="H51" s="527"/>
      <x:c r="I51" s="527"/>
      <x:c r="J51" s="527"/>
      <x:c r="K51" s="527"/>
      <x:c r="L51" s="527"/>
      <x:c r="M51" s="527"/>
    </x:row>
    <x:row r="52">
      <x:c r="A52" s="52" t="str">
        <x:v>概算で判断を止めず、正式見積・契約前には現地条件、屋根面、機器仕様、料金プラン、補助金条件を反映してください。保証値ではありません。</x:v>
      </x:c>
      <x:c r="B52" s="53"/>
      <x:c r="C52" s="53"/>
      <x:c r="D52" s="53"/>
      <x:c r="E52" s="53"/>
      <x:c r="F52" s="53"/>
      <x:c r="G52" s="53"/>
      <x:c r="H52" s="53"/>
      <x:c r="I52" s="53"/>
      <x:c r="J52" s="53"/>
      <x:c r="K52" s="53"/>
      <x:c r="L52" s="53"/>
      <x:c r="M52" s="54"/>
    </x:row>
  </x:sheetData>
  <x:sheetProtection sheet="1" objects="0" scenarios="1" formatCells="1" formatColumns="1" formatRows="1" insertColumns="1" insertRows="1" insertHyperlinks="1" deleteColumns="1" deleteRows="1" selectLockedCells="0" selectUnlockedCells="0"/>
  <x:mergeCells>
    <x:mergeCell ref="A1:M2"/>
    <x:mergeCell ref="A3:M3"/>
    <x:mergeCell ref="A4:M4"/>
    <x:mergeCell ref="A5:C5"/>
    <x:mergeCell ref="D5:F5"/>
    <x:mergeCell ref="G5:I5"/>
    <x:mergeCell ref="J5:M5"/>
    <x:mergeCell ref="A7:D10"/>
    <x:mergeCell ref="E7:H10"/>
    <x:mergeCell ref="I7:M10"/>
    <x:mergeCell ref="A12:D15"/>
    <x:mergeCell ref="E12:H15"/>
    <x:mergeCell ref="I12:M15"/>
    <x:mergeCell ref="A6:D6"/>
    <x:mergeCell ref="E6:H6"/>
    <x:mergeCell ref="I6:M6"/>
    <x:mergeCell ref="A11:D11"/>
    <x:mergeCell ref="E11:H11"/>
    <x:mergeCell ref="I11:M11"/>
    <x:mergeCell ref="A17:F17"/>
    <x:mergeCell ref="H17:M17"/>
    <x:mergeCell ref="A18:F18"/>
    <x:mergeCell ref="H18:M18"/>
    <x:mergeCell ref="A36:M36"/>
    <x:mergeCell ref="D37:F37"/>
    <x:mergeCell ref="D38:F38"/>
    <x:mergeCell ref="D39:F39"/>
    <x:mergeCell ref="G37:I37"/>
    <x:mergeCell ref="J37:M37"/>
    <x:mergeCell ref="G38:I38"/>
    <x:mergeCell ref="J38:M38"/>
    <x:mergeCell ref="G39:I39"/>
    <x:mergeCell ref="J39:M39"/>
    <x:mergeCell ref="A42:F42"/>
    <x:mergeCell ref="A43:F46"/>
    <x:mergeCell ref="A47:F50"/>
    <x:mergeCell ref="H42:M42"/>
    <x:mergeCell ref="H43:M46"/>
    <x:mergeCell ref="H47:M48"/>
    <x:mergeCell ref="H49:M50"/>
    <x:mergeCell ref="A52:M52"/>
  </x:mergeCells>
  <x:hyperlinks>
    <x:hyperlink ref="A17:F17" r:id="rIdEnegaeru1" display="家庭向け｜販売施工店の紹介を相談する"/>
    <x:hyperlink ref="H17:M17" r:id="rIdEnegaeru2" display="事業者向け｜プロダクトツアーを見る"/>
    <x:hyperlink ref="A47:F50" r:id="rIdEnegaeru3" display="家庭向け｜販売施工店の紹介を相談する"/>
    <x:hyperlink ref="H47:M48" r:id="rIdEnegaeru4" display="事業者向け｜プロダクトツアーを見る"/>
    <x:hyperlink ref="H49:M50" r:id="rIdEnegaeru5" display="事業者向け｜料金・無料トライアルを見る"/>
  </x:hyperlinks>
  <x:pageMargins left="0.25" right="0.25" top="0.4" bottom="0.4" header="0.2" footer="0.2"/>
  <x:pageSetup paperSize="9" orientation="landscape" fitToWidth="1" fitToHeight="1"/>
  <x:drawing xmlns:r="http://schemas.openxmlformats.org/officeDocument/2006/relationships" r:id="R591202f7abe54546"/>
</x:worksheet>
</file>

<file path=xl/worksheets/sheet3.xml><?xml version="1.0" encoding="utf-8"?>
<x:worksheet xmlns:x="http://schemas.openxmlformats.org/spreadsheetml/2006/main">
  <x:sheetPr>
    <x:pageSetUpPr fitToPage="1"/>
  </x:sheetPr>
  <x:sheetViews>
    <x:sheetView showGridLines="0" workbookViewId="0">
      <x:pane ySplit="6" topLeftCell="A7" activePane="bottomLeft" state="frozen"/>
    </x:sheetView>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 min="16" max="16" width="13" hidden="0" customWidth="1"/>
    <x:col min="17" max="17" width="13" hidden="0" customWidth="1"/>
    <x:col min="9" max="9" width="3" hidden="0" customWidth="1"/>
  </x:cols>
  <x:sheetData>
    <x:row r="1">
      <x:c r="A1" s="526" t="str">
        <x:v>月別発電と20年キャッシュフロー｜追跡できる明細</x:v>
      </x:c>
      <x:c r="B1" s="526"/>
      <x:c r="C1" s="526"/>
      <x:c r="D1" s="526"/>
      <x:c r="E1" s="526"/>
      <x:c r="F1" s="526"/>
      <x:c r="G1" s="526"/>
      <x:c r="H1" s="526"/>
      <x:c r="I1" s="526"/>
      <x:c r="J1" s="526"/>
      <x:c r="K1" s="526"/>
      <x:c r="L1" s="526"/>
      <x:c r="M1" s="526"/>
      <x:c r="N1" s="526"/>
      <x:c r="O1" s="526"/>
      <x:c r="P1" s="526"/>
      <x:c r="Q1" s="526"/>
    </x:row>
    <x:row r="2">
      <x:c r="A2" s="526"/>
      <x:c r="B2" s="526"/>
      <x:c r="C2" s="526"/>
      <x:c r="D2" s="526"/>
      <x:c r="E2" s="526"/>
      <x:c r="F2" s="526"/>
      <x:c r="G2" s="526"/>
      <x:c r="H2" s="526"/>
      <x:c r="I2" s="526"/>
      <x:c r="J2" s="526"/>
      <x:c r="K2" s="526"/>
      <x:c r="L2" s="526"/>
      <x:c r="M2" s="526"/>
      <x:c r="N2" s="526"/>
      <x:c r="O2" s="526"/>
      <x:c r="P2" s="526"/>
      <x:c r="Q2" s="526"/>
    </x:row>
    <x:row r="3">
      <x:c r="A3" s="8" t="str">
        <x:v>月別は初年度。20年表では劣化・電気単価上昇・FIT終了・PCS交換を年ごとに反映します。</x:v>
      </x:c>
      <x:c r="B3" s="8"/>
      <x:c r="C3" s="8"/>
      <x:c r="D3" s="8"/>
      <x:c r="E3" s="8"/>
      <x:c r="F3" s="8"/>
      <x:c r="G3" s="8"/>
      <x:c r="H3" s="8"/>
      <x:c r="I3" s="8"/>
      <x:c r="J3" s="8"/>
      <x:c r="K3" s="8"/>
      <x:c r="L3" s="8"/>
      <x:c r="M3" s="8"/>
      <x:c r="N3" s="8"/>
      <x:c r="O3" s="8"/>
      <x:c r="P3" s="8"/>
      <x:c r="Q3" s="8"/>
    </x:row>
    <x:row r="4">
      <x:c r="A4" s="275" t="str">
        <x:f>IF('_設定'!$J$23=1,"入力状態：PASS","入力エラー：明細計算を停止しています")</x:f>
        <x:v>入力状態：PASS</x:v>
      </x:c>
      <x:c r="B4" s="275"/>
      <x:c r="C4" s="275"/>
      <x:c r="D4" s="275"/>
      <x:c r="E4" s="275"/>
      <x:c r="F4" s="275"/>
      <x:c r="G4" s="275"/>
      <x:c r="H4" s="275"/>
      <x:c r="I4" s="275"/>
      <x:c r="J4" s="275"/>
      <x:c r="K4" s="275"/>
      <x:c r="L4" s="275"/>
      <x:c r="M4" s="275"/>
      <x:c r="N4" s="275"/>
      <x:c r="O4" s="275"/>
      <x:c r="P4" s="275"/>
      <x:c r="Q4" s="275"/>
    </x:row>
    <x:row r="5">
      <x:c r="A5" s="187" t="str">
        <x:v>初年度・月別</x:v>
      </x:c>
      <x:c r="B5" s="187"/>
      <x:c r="C5" s="187"/>
      <x:c r="D5" s="187"/>
      <x:c r="E5" s="187"/>
      <x:c r="F5" s="187"/>
      <x:c r="G5" s="187"/>
      <x:c r="H5" s="187"/>
      <x:c r="I5" s="527"/>
      <x:c r="J5" s="528" t="str">
        <x:v>年0～20年</x:v>
      </x:c>
      <x:c r="K5" s="528"/>
      <x:c r="L5" s="528"/>
      <x:c r="M5" s="528"/>
      <x:c r="N5" s="528"/>
      <x:c r="O5" s="528"/>
      <x:c r="P5" s="528"/>
      <x:c r="Q5" s="528"/>
    </x:row>
    <x:row r="6">
      <x:c r="A6" s="13" t="str">
        <x:v>月</x:v>
      </x:c>
      <x:c r="B6" s="13" t="str">
        <x:v>POA</x:v>
      </x:c>
      <x:c r="C6" s="13" t="str">
        <x:v>外気温</x:v>
      </x:c>
      <x:c r="D6" s="13" t="str">
        <x:v>KPT</x:v>
      </x:c>
      <x:c r="E6" s="13" t="str">
        <x:v>発電</x:v>
      </x:c>
      <x:c r="F6" s="13" t="str">
        <x:v>自家消費</x:v>
      </x:c>
      <x:c r="G6" s="13" t="str">
        <x:v>売電</x:v>
      </x:c>
      <x:c r="H6" s="13" t="str">
        <x:v>経済効果</x:v>
      </x:c>
      <x:c r="I6" s="527"/>
      <x:c r="J6" s="13" t="str">
        <x:v>年</x:v>
      </x:c>
      <x:c r="K6" s="13" t="str">
        <x:v>発電</x:v>
      </x:c>
      <x:c r="L6" s="13" t="str">
        <x:v>自家消費</x:v>
      </x:c>
      <x:c r="M6" s="13" t="str">
        <x:v>売電</x:v>
      </x:c>
      <x:c r="N6" s="13" t="str">
        <x:v>買電単価</x:v>
      </x:c>
      <x:c r="O6" s="13" t="str">
        <x:v>売電単価</x:v>
      </x:c>
      <x:c r="P6" s="13" t="str">
        <x:v>年CF</x:v>
      </x:c>
      <x:c r="Q6" s="13" t="str">
        <x:v>累積CF</x:v>
      </x:c>
    </x:row>
    <x:row r="7">
      <x:c r="A7" s="20" t="str">
        <x:f>IF('_設定'!$J$23=0,"—",'_計算月次'!$B$5)</x:f>
        <x:v>1月</x:v>
      </x:c>
      <x:c r="B7" s="192" t="n">
        <x:f>IF('_設定'!$J$23=0,"—",'_計算月次'!$E$5)</x:f>
        <x:v>133.425263</x:v>
      </x:c>
      <x:c r="C7" s="192" t="n">
        <x:f>IF('_設定'!$J$23=0,"—",'_計算月次'!$F$5)</x:f>
        <x:v>4.410526</x:v>
      </x:c>
      <x:c r="D7" s="192" t="n">
        <x:f>IF('_設定'!$J$23=0,"—",'_計算月次'!$H$5)</x:f>
        <x:v>0.995902633</x:v>
      </x:c>
      <x:c r="E7" s="563" t="n">
        <x:f>IF('_設定'!$J$23=0,"—",'_計算月次'!$J$5)</x:f>
        <x:v>502.4147595742038</x:v>
      </x:c>
      <x:c r="F7" s="563" t="n">
        <x:f>IF('_設定'!$J$23=0,"—",'_計算月次'!$L$5)</x:f>
        <x:v>200.96590382968154</x:v>
      </x:c>
      <x:c r="G7" s="563" t="n">
        <x:f>IF('_設定'!$J$23=0,"—",'_計算月次'!$M$5)</x:f>
        <x:v>301.44885574452223</x:v>
      </x:c>
      <x:c r="H7" s="190" t="n">
        <x:f>IF('_設定'!$J$23=0,"—",'_計算月次'!$P$5)</x:f>
        <x:v>14268.579171907388</x:v>
      </x:c>
      <x:c r="I7" s="527"/>
      <x:c r="J7" s="20" t="n">
        <x:f>IF('_設定'!$J$23=0,"—",'_計算年次'!$A$5)</x:f>
        <x:v>0</x:v>
      </x:c>
      <x:c r="K7" s="563" t="n">
        <x:f>IF('_設定'!$J$23=0,"—",'_計算年次'!$B$5)</x:f>
        <x:v>0</x:v>
      </x:c>
      <x:c r="L7" s="563" t="n">
        <x:f>IF('_設定'!$J$23=0,"—",'_計算年次'!$C$5)</x:f>
        <x:v>0</x:v>
      </x:c>
      <x:c r="M7" s="563" t="n">
        <x:f>IF('_設定'!$J$23=0,"—",'_計算年次'!$D$5)</x:f>
        <x:v>0</x:v>
      </x:c>
      <x:c r="N7" s="185" t="n">
        <x:f>IF('_設定'!$J$23=0,"—",'_計算年次'!$E$5)</x:f>
        <x:v>0</x:v>
      </x:c>
      <x:c r="O7" s="185" t="n">
        <x:f>IF('_設定'!$J$23=0,"—",'_計算年次'!$F$5)</x:f>
        <x:v>0</x:v>
      </x:c>
      <x:c r="P7" s="190" t="n">
        <x:f>IF('_設定'!$J$23=0,"—",'_計算年次'!$K$5)</x:f>
        <x:v>-1500000</x:v>
      </x:c>
      <x:c r="Q7" s="190" t="n">
        <x:f>IF('_設定'!$J$23=0,"—",'_計算年次'!$L$5)</x:f>
        <x:v>-1500000</x:v>
      </x:c>
    </x:row>
    <x:row r="8">
      <x:c r="A8" s="20" t="str">
        <x:f>IF('_設定'!$J$23=0,"—",'_計算月次'!$B$6)</x:f>
        <x:v>2月</x:v>
      </x:c>
      <x:c r="B8" s="192" t="n">
        <x:f>IF('_設定'!$J$23=0,"—",'_計算月次'!$E$6)</x:f>
        <x:v>126.079474</x:v>
      </x:c>
      <x:c r="C8" s="192" t="n">
        <x:f>IF('_設定'!$J$23=0,"—",'_計算月次'!$F$6)</x:f>
        <x:v>5.484211</x:v>
      </x:c>
      <x:c r="D8" s="192" t="n">
        <x:f>IF('_設定'!$J$23=0,"—",'_計算月次'!$H$6)</x:f>
        <x:v>0.9910710505</x:v>
      </x:c>
      <x:c r="E8" s="563" t="n">
        <x:f>IF('_設定'!$J$23=0,"—",'_計算月次'!$J$6)</x:f>
        <x:v>472.4508339500229</x:v>
      </x:c>
      <x:c r="F8" s="563" t="n">
        <x:f>IF('_設定'!$J$23=0,"—",'_計算月次'!$L$6)</x:f>
        <x:v>188.9803335800092</x:v>
      </x:c>
      <x:c r="G8" s="563" t="n">
        <x:f>IF('_設定'!$J$23=0,"—",'_計算月次'!$M$6)</x:f>
        <x:v>283.4705003700137</x:v>
      </x:c>
      <x:c r="H8" s="190" t="n">
        <x:f>IF('_設定'!$J$23=0,"—",'_計算月次'!$P$6)</x:f>
        <x:v>13417.60368418065</x:v>
      </x:c>
      <x:c r="I8" s="527"/>
      <x:c r="J8" s="20" t="n">
        <x:f>IF('_設定'!$J$23=0,"—",'_計算年次'!$A$6)</x:f>
        <x:v>1</x:v>
      </x:c>
      <x:c r="K8" s="563" t="n">
        <x:f>IF('_設定'!$J$23=0,"—",'_計算年次'!$B$6)</x:f>
        <x:v>5764.939650333731</x:v>
      </x:c>
      <x:c r="L8" s="563" t="n">
        <x:f>IF('_設定'!$J$23=0,"—",'_計算年次'!$C$6)</x:f>
        <x:v>2305.9758601334925</x:v>
      </x:c>
      <x:c r="M8" s="563" t="n">
        <x:f>IF('_設定'!$J$23=0,"—",'_計算年次'!$D$6)</x:f>
        <x:v>3458.9637902002387</x:v>
      </x:c>
      <x:c r="N8" s="185" t="n">
        <x:f>IF('_設定'!$J$23=0,"—",'_計算年次'!$E$6)</x:f>
        <x:v>35</x:v>
      </x:c>
      <x:c r="O8" s="185" t="n">
        <x:f>IF('_設定'!$J$23=0,"—",'_計算年次'!$F$6)</x:f>
        <x:v>24</x:v>
      </x:c>
      <x:c r="P8" s="190" t="n">
        <x:f>IF('_設定'!$J$23=0,"—",'_計算年次'!$K$6)</x:f>
        <x:v>163724.28606947797</x:v>
      </x:c>
      <x:c r="Q8" s="190" t="n">
        <x:f>IF('_設定'!$J$23=0,"—",'_計算年次'!$L$6)</x:f>
        <x:v>-1336275.713930522</x:v>
      </x:c>
    </x:row>
    <x:row r="9">
      <x:c r="A9" s="20" t="str">
        <x:f>IF('_設定'!$J$23=0,"—",'_計算月次'!$B$7)</x:f>
        <x:v>3月</x:v>
      </x:c>
      <x:c r="B9" s="192" t="n">
        <x:f>IF('_設定'!$J$23=0,"—",'_計算月次'!$E$7)</x:f>
        <x:v>148.788947</x:v>
      </x:c>
      <x:c r="C9" s="192" t="n">
        <x:f>IF('_設定'!$J$23=0,"—",'_計算月次'!$F$7)</x:f>
        <x:v>9.121053</x:v>
      </x:c>
      <x:c r="D9" s="192" t="n">
        <x:f>IF('_設定'!$J$23=0,"—",'_計算月次'!$H$7)</x:f>
        <x:v>0.9747052615</x:v>
      </x:c>
      <x:c r="E9" s="563" t="n">
        <x:f>IF('_設定'!$J$23=0,"—",'_計算月次'!$J$7)</x:f>
        <x:v>548.3418864753118</x:v>
      </x:c>
      <x:c r="F9" s="563" t="n">
        <x:f>IF('_設定'!$J$23=0,"—",'_計算月次'!$L$7)</x:f>
        <x:v>219.3367545901247</x:v>
      </x:c>
      <x:c r="G9" s="563" t="n">
        <x:f>IF('_設定'!$J$23=0,"—",'_計算月次'!$M$7)</x:f>
        <x:v>329.00513188518704</x:v>
      </x:c>
      <x:c r="H9" s="190" t="n">
        <x:f>IF('_設定'!$J$23=0,"—",'_計算月次'!$P$7)</x:f>
        <x:v>15572.909575898855</x:v>
      </x:c>
      <x:c r="I9" s="527"/>
      <x:c r="J9" s="20" t="n">
        <x:f>IF('_設定'!$J$23=0,"—",'_計算年次'!$A$7)</x:f>
        <x:v>2</x:v>
      </x:c>
      <x:c r="K9" s="563" t="n">
        <x:f>IF('_設定'!$J$23=0,"—",'_計算年次'!$B$7)</x:f>
        <x:v>5764.939650333731</x:v>
      </x:c>
      <x:c r="L9" s="563" t="n">
        <x:f>IF('_設定'!$J$23=0,"—",'_計算年次'!$C$7)</x:f>
        <x:v>2305.9758601334925</x:v>
      </x:c>
      <x:c r="M9" s="563" t="n">
        <x:f>IF('_設定'!$J$23=0,"—",'_計算年次'!$D$7)</x:f>
        <x:v>3458.9637902002387</x:v>
      </x:c>
      <x:c r="N9" s="185" t="n">
        <x:f>IF('_設定'!$J$23=0,"—",'_計算年次'!$E$7)</x:f>
        <x:v>35.35</x:v>
      </x:c>
      <x:c r="O9" s="185" t="n">
        <x:f>IF('_設定'!$J$23=0,"—",'_計算年次'!$F$7)</x:f>
        <x:v>24</x:v>
      </x:c>
      <x:c r="P9" s="190" t="n">
        <x:f>IF('_設定'!$J$23=0,"—",'_計算年次'!$K$7)</x:f>
        <x:v>164531.37762052467</x:v>
      </x:c>
      <x:c r="Q9" s="190" t="n">
        <x:f>IF('_設定'!$J$23=0,"—",'_計算年次'!$L$7)</x:f>
        <x:v>-1171744.3363099974</x:v>
      </x:c>
    </x:row>
    <x:row r="10">
      <x:c r="A10" s="20" t="str">
        <x:f>IF('_設定'!$J$23=0,"—",'_計算月次'!$B$8)</x:f>
        <x:v>4月</x:v>
      </x:c>
      <x:c r="B10" s="192" t="n">
        <x:f>IF('_設定'!$J$23=0,"—",'_計算月次'!$E$8)</x:f>
        <x:v>151.948947</x:v>
      </x:c>
      <x:c r="C10" s="192" t="n">
        <x:f>IF('_設定'!$J$23=0,"—",'_計算月次'!$F$8)</x:f>
        <x:v>13.605263</x:v>
      </x:c>
      <x:c r="D10" s="192" t="n">
        <x:f>IF('_設定'!$J$23=0,"—",'_計算月次'!$H$8)</x:f>
        <x:v>0.9545263165</x:v>
      </x:c>
      <x:c r="E10" s="563" t="n">
        <x:f>IF('_設定'!$J$23=0,"—",'_計算月次'!$J$8)</x:f>
        <x:v>548.3944393749554</x:v>
      </x:c>
      <x:c r="F10" s="563" t="n">
        <x:f>IF('_設定'!$J$23=0,"—",'_計算月次'!$L$8)</x:f>
        <x:v>219.35777574998215</x:v>
      </x:c>
      <x:c r="G10" s="563" t="n">
        <x:f>IF('_設定'!$J$23=0,"—",'_計算月次'!$M$8)</x:f>
        <x:v>329.03666362497324</x:v>
      </x:c>
      <x:c r="H10" s="190" t="n">
        <x:f>IF('_設定'!$J$23=0,"—",'_計算月次'!$P$8)</x:f>
        <x:v>15574.402078248733</x:v>
      </x:c>
      <x:c r="I10" s="527"/>
      <x:c r="J10" s="20" t="n">
        <x:f>IF('_設定'!$J$23=0,"—",'_計算年次'!$A$8)</x:f>
        <x:v>3</x:v>
      </x:c>
      <x:c r="K10" s="563" t="n">
        <x:f>IF('_設定'!$J$23=0,"—",'_計算年次'!$B$8)</x:f>
        <x:v>5764.939650333731</x:v>
      </x:c>
      <x:c r="L10" s="563" t="n">
        <x:f>IF('_設定'!$J$23=0,"—",'_計算年次'!$C$8)</x:f>
        <x:v>2305.9758601334925</x:v>
      </x:c>
      <x:c r="M10" s="563" t="n">
        <x:f>IF('_設定'!$J$23=0,"—",'_計算年次'!$D$8)</x:f>
        <x:v>3458.9637902002387</x:v>
      </x:c>
      <x:c r="N10" s="185" t="n">
        <x:f>IF('_設定'!$J$23=0,"—",'_計算年次'!$E$8)</x:f>
        <x:v>35.7035</x:v>
      </x:c>
      <x:c r="O10" s="185" t="n">
        <x:f>IF('_設定'!$J$23=0,"—",'_計算年次'!$F$8)</x:f>
        <x:v>24</x:v>
      </x:c>
      <x:c r="P10" s="190" t="n">
        <x:f>IF('_設定'!$J$23=0,"—",'_計算年次'!$K$8)</x:f>
        <x:v>165346.54008708184</x:v>
      </x:c>
      <x:c r="Q10" s="190" t="n">
        <x:f>IF('_設定'!$J$23=0,"—",'_計算年次'!$L$8)</x:f>
        <x:v>-1006397.7962229155</x:v>
      </x:c>
    </x:row>
    <x:row r="11">
      <x:c r="A11" s="20" t="str">
        <x:f>IF('_設定'!$J$23=0,"—",'_計算月次'!$B$9)</x:f>
        <x:v>5月</x:v>
      </x:c>
      <x:c r="B11" s="192" t="n">
        <x:f>IF('_設定'!$J$23=0,"—",'_計算月次'!$E$9)</x:f>
        <x:v>156.476842</x:v>
      </x:c>
      <x:c r="C11" s="192" t="n">
        <x:f>IF('_設定'!$J$23=0,"—",'_計算月次'!$F$9)</x:f>
        <x:v>18.3</x:v>
      </x:c>
      <x:c r="D11" s="192" t="n">
        <x:f>IF('_設定'!$J$23=0,"—",'_計算月次'!$H$9)</x:f>
        <x:v>0.9334</x:v>
      </x:c>
      <x:c r="E11" s="563" t="n">
        <x:f>IF('_設定'!$J$23=0,"—",'_計算月次'!$J$9)</x:f>
        <x:v>552.2367574934775</x:v>
      </x:c>
      <x:c r="F11" s="563" t="n">
        <x:f>IF('_設定'!$J$23=0,"—",'_計算月次'!$L$9)</x:f>
        <x:v>220.89470299739102</x:v>
      </x:c>
      <x:c r="G11" s="563" t="n">
        <x:f>IF('_設定'!$J$23=0,"—",'_計算月次'!$M$9)</x:f>
        <x:v>331.34205449608646</x:v>
      </x:c>
      <x:c r="H11" s="190" t="n">
        <x:f>IF('_設定'!$J$23=0,"—",'_計算月次'!$P$9)</x:f>
        <x:v>15683.52391281476</x:v>
      </x:c>
      <x:c r="I11" s="527"/>
      <x:c r="J11" s="20" t="n">
        <x:f>IF('_設定'!$J$23=0,"—",'_計算年次'!$A$9)</x:f>
        <x:v>4</x:v>
      </x:c>
      <x:c r="K11" s="563" t="n">
        <x:f>IF('_設定'!$J$23=0,"—",'_計算年次'!$B$9)</x:f>
        <x:v>5764.939650333731</x:v>
      </x:c>
      <x:c r="L11" s="563" t="n">
        <x:f>IF('_設定'!$J$23=0,"—",'_計算年次'!$C$9)</x:f>
        <x:v>2305.9758601334925</x:v>
      </x:c>
      <x:c r="M11" s="563" t="n">
        <x:f>IF('_設定'!$J$23=0,"—",'_計算年次'!$D$9)</x:f>
        <x:v>3458.9637902002387</x:v>
      </x:c>
      <x:c r="N11" s="185" t="n">
        <x:f>IF('_設定'!$J$23=0,"—",'_計算年次'!$E$9)</x:f>
        <x:v>36.060535</x:v>
      </x:c>
      <x:c r="O11" s="185" t="n">
        <x:f>IF('_設定'!$J$23=0,"—",'_計算年次'!$F$9)</x:f>
        <x:v>24</x:v>
      </x:c>
      <x:c r="P11" s="190" t="n">
        <x:f>IF('_設定'!$J$23=0,"—",'_計算年次'!$K$9)</x:f>
        <x:v>166169.8541783046</x:v>
      </x:c>
      <x:c r="Q11" s="190" t="n">
        <x:f>IF('_設定'!$J$23=0,"—",'_計算年次'!$L$9)</x:f>
        <x:v>-840227.9420446109</x:v>
      </x:c>
    </x:row>
    <x:row r="12">
      <x:c r="A12" s="20" t="str">
        <x:f>IF('_設定'!$J$23=0,"—",'_計算月次'!$B$10)</x:f>
        <x:v>6月</x:v>
      </x:c>
      <x:c r="B12" s="192" t="n">
        <x:f>IF('_設定'!$J$23=0,"—",'_計算月次'!$E$10)</x:f>
        <x:v>129.283684</x:v>
      </x:c>
      <x:c r="C12" s="192" t="n">
        <x:f>IF('_設定'!$J$23=0,"—",'_計算月次'!$F$10)</x:f>
        <x:v>21.694737</x:v>
      </x:c>
      <x:c r="D12" s="192" t="n">
        <x:f>IF('_設定'!$J$23=0,"—",'_計算月次'!$H$10)</x:f>
        <x:v>0.9181236835</x:v>
      </x:c>
      <x:c r="E12" s="563" t="n">
        <x:f>IF('_設定'!$J$23=0,"—",'_計算月次'!$J$10)</x:f>
        <x:v>448.7994857612148</x:v>
      </x:c>
      <x:c r="F12" s="563" t="n">
        <x:f>IF('_設定'!$J$23=0,"—",'_計算月次'!$L$10)</x:f>
        <x:v>179.5197943044859</x:v>
      </x:c>
      <x:c r="G12" s="563" t="n">
        <x:f>IF('_設定'!$J$23=0,"—",'_計算月次'!$M$10)</x:f>
        <x:v>269.27969145672887</x:v>
      </x:c>
      <x:c r="H12" s="190" t="n">
        <x:f>IF('_設定'!$J$23=0,"—",'_計算月次'!$P$10)</x:f>
        <x:v>12745.9053956185</x:v>
      </x:c>
      <x:c r="I12" s="527"/>
      <x:c r="J12" s="20" t="n">
        <x:f>IF('_設定'!$J$23=0,"—",'_計算年次'!$A$10)</x:f>
        <x:v>5</x:v>
      </x:c>
      <x:c r="K12" s="563" t="n">
        <x:f>IF('_設定'!$J$23=0,"—",'_計算年次'!$B$10)</x:f>
        <x:v>5764.939650333731</x:v>
      </x:c>
      <x:c r="L12" s="563" t="n">
        <x:f>IF('_設定'!$J$23=0,"—",'_計算年次'!$C$10)</x:f>
        <x:v>2305.9758601334925</x:v>
      </x:c>
      <x:c r="M12" s="563" t="n">
        <x:f>IF('_設定'!$J$23=0,"—",'_計算年次'!$D$10)</x:f>
        <x:v>3458.9637902002387</x:v>
      </x:c>
      <x:c r="N12" s="185" t="n">
        <x:f>IF('_設定'!$J$23=0,"—",'_計算年次'!$E$10)</x:f>
        <x:v>36.42114035</x:v>
      </x:c>
      <x:c r="O12" s="185" t="n">
        <x:f>IF('_設定'!$J$23=0,"—",'_計算年次'!$F$10)</x:f>
        <x:v>8.3</x:v>
      </x:c>
      <x:c r="P12" s="190" t="n">
        <x:f>IF('_設定'!$J$23=0,"—",'_計算年次'!$K$10)</x:f>
        <x:v>112695.66990429588</x:v>
      </x:c>
      <x:c r="Q12" s="190" t="n">
        <x:f>IF('_設定'!$J$23=0,"—",'_計算年次'!$L$10)</x:f>
        <x:v>-727532.272140315</x:v>
      </x:c>
    </x:row>
    <x:row r="13">
      <x:c r="A13" s="20" t="str">
        <x:f>IF('_設定'!$J$23=0,"—",'_計算月次'!$B$11)</x:f>
        <x:v>7月</x:v>
      </x:c>
      <x:c r="B13" s="192" t="n">
        <x:f>IF('_設定'!$J$23=0,"—",'_計算月次'!$E$11)</x:f>
        <x:v>139.598421</x:v>
      </x:c>
      <x:c r="C13" s="192" t="n">
        <x:f>IF('_設定'!$J$23=0,"—",'_計算月次'!$F$11)</x:f>
        <x:v>25.310526</x:v>
      </x:c>
      <x:c r="D13" s="192" t="n">
        <x:f>IF('_設定'!$J$23=0,"—",'_計算月次'!$H$11)</x:f>
        <x:v>0.9018526330000001</x:v>
      </x:c>
      <x:c r="E13" s="563" t="n">
        <x:f>IF('_設定'!$J$23=0,"—",'_計算月次'!$J$11)</x:f>
        <x:v>476.0181638067866</x:v>
      </x:c>
      <x:c r="F13" s="563" t="n">
        <x:f>IF('_設定'!$J$23=0,"—",'_計算月次'!$L$11)</x:f>
        <x:v>190.40726552271465</x:v>
      </x:c>
      <x:c r="G13" s="563" t="n">
        <x:f>IF('_設定'!$J$23=0,"—",'_計算月次'!$M$11)</x:f>
        <x:v>285.61089828407194</x:v>
      </x:c>
      <x:c r="H13" s="190" t="n">
        <x:f>IF('_設定'!$J$23=0,"—",'_計算月次'!$P$11)</x:f>
        <x:v>13518.91585211274</x:v>
      </x:c>
      <x:c r="I13" s="527"/>
      <x:c r="J13" s="20" t="n">
        <x:f>IF('_設定'!$J$23=0,"—",'_計算年次'!$A$11)</x:f>
        <x:v>6</x:v>
      </x:c>
      <x:c r="K13" s="563" t="n">
        <x:f>IF('_設定'!$J$23=0,"—",'_計算年次'!$B$11)</x:f>
        <x:v>5764.939650333731</x:v>
      </x:c>
      <x:c r="L13" s="563" t="n">
        <x:f>IF('_設定'!$J$23=0,"—",'_計算年次'!$C$11)</x:f>
        <x:v>2305.9758601334925</x:v>
      </x:c>
      <x:c r="M13" s="563" t="n">
        <x:f>IF('_設定'!$J$23=0,"—",'_計算年次'!$D$11)</x:f>
        <x:v>3458.9637902002387</x:v>
      </x:c>
      <x:c r="N13" s="185" t="n">
        <x:f>IF('_設定'!$J$23=0,"—",'_計算年次'!$E$11)</x:f>
        <x:v>36.7853517535</x:v>
      </x:c>
      <x:c r="O13" s="185" t="n">
        <x:f>IF('_設定'!$J$23=0,"—",'_計算年次'!$F$11)</x:f>
        <x:v>8.3</x:v>
      </x:c>
      <x:c r="P13" s="190" t="n">
        <x:f>IF('_設定'!$J$23=0,"—",'_計算年次'!$K$11)</x:f>
        <x:v>113535.53260875223</x:v>
      </x:c>
      <x:c r="Q13" s="190" t="n">
        <x:f>IF('_設定'!$J$23=0,"—",'_計算年次'!$L$11)</x:f>
        <x:v>-613996.7395315628</x:v>
      </x:c>
    </x:row>
    <x:row r="14">
      <x:c r="A14" s="20" t="str">
        <x:f>IF('_設定'!$J$23=0,"—",'_計算月次'!$B$12)</x:f>
        <x:v>8月</x:v>
      </x:c>
      <x:c r="B14" s="192" t="n">
        <x:f>IF('_設定'!$J$23=0,"—",'_計算月次'!$E$12)</x:f>
        <x:v>156.055263</x:v>
      </x:c>
      <x:c r="C14" s="192" t="n">
        <x:f>IF('_設定'!$J$23=0,"—",'_計算月次'!$F$12)</x:f>
        <x:v>26.621053</x:v>
      </x:c>
      <x:c r="D14" s="192" t="n">
        <x:f>IF('_設定'!$J$23=0,"—",'_計算月次'!$H$12)</x:f>
        <x:v>0.8959552614999999</x:v>
      </x:c>
      <x:c r="E14" s="563" t="n">
        <x:f>IF('_設定'!$J$23=0,"—",'_計算月次'!$J$12)</x:f>
        <x:v>528.6548067323699</x:v>
      </x:c>
      <x:c r="F14" s="563" t="n">
        <x:f>IF('_設定'!$J$23=0,"—",'_計算月次'!$L$12)</x:f>
        <x:v>211.46192269294798</x:v>
      </x:c>
      <x:c r="G14" s="563" t="n">
        <x:f>IF('_設定'!$J$23=0,"—",'_計算月次'!$M$12)</x:f>
        <x:v>317.192884039422</x:v>
      </x:c>
      <x:c r="H14" s="190" t="n">
        <x:f>IF('_設定'!$J$23=0,"—",'_計算月次'!$P$12)</x:f>
        <x:v>15013.796511199307</x:v>
      </x:c>
      <x:c r="I14" s="527"/>
      <x:c r="J14" s="20" t="n">
        <x:f>IF('_設定'!$J$23=0,"—",'_計算年次'!$A$12)</x:f>
        <x:v>7</x:v>
      </x:c>
      <x:c r="K14" s="563" t="n">
        <x:f>IF('_設定'!$J$23=0,"—",'_計算年次'!$B$12)</x:f>
        <x:v>5764.939650333731</x:v>
      </x:c>
      <x:c r="L14" s="563" t="n">
        <x:f>IF('_設定'!$J$23=0,"—",'_計算年次'!$C$12)</x:f>
        <x:v>2305.9758601334925</x:v>
      </x:c>
      <x:c r="M14" s="563" t="n">
        <x:f>IF('_設定'!$J$23=0,"—",'_計算年次'!$D$12)</x:f>
        <x:v>3458.9637902002387</x:v>
      </x:c>
      <x:c r="N14" s="185" t="n">
        <x:f>IF('_設定'!$J$23=0,"—",'_計算年次'!$E$12)</x:f>
        <x:v>37.153205271035006</x:v>
      </x:c>
      <x:c r="O14" s="185" t="n">
        <x:f>IF('_設定'!$J$23=0,"—",'_計算年次'!$F$12)</x:f>
        <x:v>8.3</x:v>
      </x:c>
      <x:c r="P14" s="190" t="n">
        <x:f>IF('_設定'!$J$23=0,"—",'_計算年次'!$K$12)</x:f>
        <x:v>114383.79394025312</x:v>
      </x:c>
      <x:c r="Q14" s="190" t="n">
        <x:f>IF('_設定'!$J$23=0,"—",'_計算年次'!$L$12)</x:f>
        <x:v>-499612.9455913097</x:v>
      </x:c>
    </x:row>
    <x:row r="15">
      <x:c r="A15" s="20" t="str">
        <x:f>IF('_設定'!$J$23=0,"—",'_計算月次'!$B$13)</x:f>
        <x:v>9月</x:v>
      </x:c>
      <x:c r="B15" s="192" t="n">
        <x:f>IF('_設定'!$J$23=0,"—",'_計算月次'!$E$13)</x:f>
        <x:v>126.583684</x:v>
      </x:c>
      <x:c r="C15" s="192" t="n">
        <x:f>IF('_設定'!$J$23=0,"—",'_計算月次'!$F$13)</x:f>
        <x:v>23.110526</x:v>
      </x:c>
      <x:c r="D15" s="192" t="n">
        <x:f>IF('_設定'!$J$23=0,"—",'_計算月次'!$H$13)</x:f>
        <x:v>0.911752633</x:v>
      </x:c>
      <x:c r="E15" s="563" t="n">
        <x:f>IF('_設定'!$J$23=0,"—",'_計算月次'!$J$13)</x:f>
        <x:v>436.37734765103465</x:v>
      </x:c>
      <x:c r="F15" s="563" t="n">
        <x:f>IF('_設定'!$J$23=0,"—",'_計算月次'!$L$13)</x:f>
        <x:v>174.55093906041387</x:v>
      </x:c>
      <x:c r="G15" s="563" t="n">
        <x:f>IF('_設定'!$J$23=0,"—",'_計算月次'!$M$13)</x:f>
        <x:v>261.82640859062076</x:v>
      </x:c>
      <x:c r="H15" s="190" t="n">
        <x:f>IF('_設定'!$J$23=0,"—",'_計算月次'!$P$13)</x:f>
        <x:v>12393.116673289383</x:v>
      </x:c>
      <x:c r="I15" s="527"/>
      <x:c r="J15" s="20" t="n">
        <x:f>IF('_設定'!$J$23=0,"—",'_計算年次'!$A$13)</x:f>
        <x:v>8</x:v>
      </x:c>
      <x:c r="K15" s="563" t="n">
        <x:f>IF('_設定'!$J$23=0,"—",'_計算年次'!$B$13)</x:f>
        <x:v>5764.939650333731</x:v>
      </x:c>
      <x:c r="L15" s="563" t="n">
        <x:f>IF('_設定'!$J$23=0,"—",'_計算年次'!$C$13)</x:f>
        <x:v>2305.9758601334925</x:v>
      </x:c>
      <x:c r="M15" s="563" t="n">
        <x:f>IF('_設定'!$J$23=0,"—",'_計算年次'!$D$13)</x:f>
        <x:v>3458.9637902002387</x:v>
      </x:c>
      <x:c r="N15" s="185" t="n">
        <x:f>IF('_設定'!$J$23=0,"—",'_計算年次'!$E$13)</x:f>
        <x:v>37.52473732374535</x:v>
      </x:c>
      <x:c r="O15" s="185" t="n">
        <x:f>IF('_設定'!$J$23=0,"—",'_計算年次'!$F$13)</x:f>
        <x:v>8.3</x:v>
      </x:c>
      <x:c r="P15" s="190" t="n">
        <x:f>IF('_設定'!$J$23=0,"—",'_計算年次'!$K$13)</x:f>
        <x:v>115240.537885069</x:v>
      </x:c>
      <x:c r="Q15" s="190" t="n">
        <x:f>IF('_設定'!$J$23=0,"—",'_計算年次'!$L$13)</x:f>
        <x:v>-384372.40770624066</x:v>
      </x:c>
    </x:row>
    <x:row r="16">
      <x:c r="A16" s="20" t="str">
        <x:f>IF('_設定'!$J$23=0,"—",'_計算月次'!$B$14)</x:f>
        <x:v>10月</x:v>
      </x:c>
      <x:c r="B16" s="192" t="n">
        <x:f>IF('_設定'!$J$23=0,"—",'_計算月次'!$E$14)</x:f>
        <x:v>115.443158</x:v>
      </x:c>
      <x:c r="C16" s="192" t="n">
        <x:f>IF('_設定'!$J$23=0,"—",'_計算月次'!$F$14)</x:f>
        <x:v>17.584211</x:v>
      </x:c>
      <x:c r="D16" s="192" t="n">
        <x:f>IF('_設定'!$J$23=0,"—",'_計算月次'!$H$14)</x:f>
        <x:v>0.9366210505</x:v>
      </x:c>
      <x:c r="E16" s="563" t="n">
        <x:f>IF('_設定'!$J$23=0,"—",'_計算月次'!$J$14)</x:f>
        <x:v>408.8269849869007</x:v>
      </x:c>
      <x:c r="F16" s="563" t="n">
        <x:f>IF('_設定'!$J$23=0,"—",'_計算月次'!$L$14)</x:f>
        <x:v>163.5307939947603</x:v>
      </x:c>
      <x:c r="G16" s="563" t="n">
        <x:f>IF('_設定'!$J$23=0,"—",'_計算月次'!$M$14)</x:f>
        <x:v>245.2961909921404</x:v>
      </x:c>
      <x:c r="H16" s="190" t="n">
        <x:f>IF('_設定'!$J$23=0,"—",'_計算月次'!$P$14)</x:f>
        <x:v>11610.686373627981</x:v>
      </x:c>
      <x:c r="I16" s="527"/>
      <x:c r="J16" s="20" t="n">
        <x:f>IF('_設定'!$J$23=0,"—",'_計算年次'!$A$14)</x:f>
        <x:v>9</x:v>
      </x:c>
      <x:c r="K16" s="563" t="n">
        <x:f>IF('_設定'!$J$23=0,"—",'_計算年次'!$B$14)</x:f>
        <x:v>5764.939650333731</x:v>
      </x:c>
      <x:c r="L16" s="563" t="n">
        <x:f>IF('_設定'!$J$23=0,"—",'_計算年次'!$C$14)</x:f>
        <x:v>2305.9758601334925</x:v>
      </x:c>
      <x:c r="M16" s="563" t="n">
        <x:f>IF('_設定'!$J$23=0,"—",'_計算年次'!$D$14)</x:f>
        <x:v>3458.9637902002387</x:v>
      </x:c>
      <x:c r="N16" s="185" t="n">
        <x:f>IF('_設定'!$J$23=0,"—",'_計算年次'!$E$14)</x:f>
        <x:v>37.899984696982806</x:v>
      </x:c>
      <x:c r="O16" s="185" t="n">
        <x:f>IF('_設定'!$J$23=0,"—",'_計算年次'!$F$14)</x:f>
        <x:v>8.3</x:v>
      </x:c>
      <x:c r="P16" s="190" t="n">
        <x:f>IF('_設定'!$J$23=0,"—",'_計算年次'!$K$14)</x:f>
        <x:v>116105.84926933309</x:v>
      </x:c>
      <x:c r="Q16" s="190" t="n">
        <x:f>IF('_設定'!$J$23=0,"—",'_計算年次'!$L$14)</x:f>
        <x:v>-268266.5584369076</x:v>
      </x:c>
    </x:row>
    <x:row r="17">
      <x:c r="A17" s="20" t="str">
        <x:f>IF('_設定'!$J$23=0,"—",'_計算月次'!$B$15)</x:f>
        <x:v>11月</x:v>
      </x:c>
      <x:c r="B17" s="192" t="n">
        <x:f>IF('_設定'!$J$23=0,"—",'_計算月次'!$E$15)</x:f>
        <x:v>109.697895</x:v>
      </x:c>
      <x:c r="C17" s="192" t="n">
        <x:f>IF('_設定'!$J$23=0,"—",'_計算月次'!$F$15)</x:f>
        <x:v>12.242105</x:v>
      </x:c>
      <x:c r="D17" s="192" t="n">
        <x:f>IF('_設定'!$J$23=0,"—",'_計算月次'!$H$15)</x:f>
        <x:v>0.9606605275</x:v>
      </x:c>
      <x:c r="E17" s="563" t="n">
        <x:f>IF('_設定'!$J$23=0,"—",'_計算月次'!$J$15)</x:f>
        <x:v>398.45169764745054</x:v>
      </x:c>
      <x:c r="F17" s="563" t="n">
        <x:f>IF('_設定'!$J$23=0,"—",'_計算月次'!$L$15)</x:f>
        <x:v>159.38067905898023</x:v>
      </x:c>
      <x:c r="G17" s="563" t="n">
        <x:f>IF('_設定'!$J$23=0,"—",'_計算月次'!$M$15)</x:f>
        <x:v>239.0710185884703</x:v>
      </x:c>
      <x:c r="H17" s="190" t="n">
        <x:f>IF('_設定'!$J$23=0,"—",'_計算月次'!$P$15)</x:f>
        <x:v>11316.028213187596</x:v>
      </x:c>
      <x:c r="I17" s="527"/>
      <x:c r="J17" s="20" t="n">
        <x:f>IF('_設定'!$J$23=0,"—",'_計算年次'!$A$15)</x:f>
        <x:v>10</x:v>
      </x:c>
      <x:c r="K17" s="563" t="n">
        <x:f>IF('_設定'!$J$23=0,"—",'_計算年次'!$B$15)</x:f>
        <x:v>5764.939650333731</x:v>
      </x:c>
      <x:c r="L17" s="563" t="n">
        <x:f>IF('_設定'!$J$23=0,"—",'_計算年次'!$C$15)</x:f>
        <x:v>2305.9758601334925</x:v>
      </x:c>
      <x:c r="M17" s="563" t="n">
        <x:f>IF('_設定'!$J$23=0,"—",'_計算年次'!$D$15)</x:f>
        <x:v>3458.9637902002387</x:v>
      </x:c>
      <x:c r="N17" s="185" t="n">
        <x:f>IF('_設定'!$J$23=0,"—",'_計算年次'!$E$15)</x:f>
        <x:v>38.27898454395263</x:v>
      </x:c>
      <x:c r="O17" s="185" t="n">
        <x:f>IF('_設定'!$J$23=0,"—",'_計算年次'!$F$15)</x:f>
        <x:v>8.3</x:v>
      </x:c>
      <x:c r="P17" s="190" t="n">
        <x:f>IF('_設定'!$J$23=0,"—",'_計算年次'!$K$15)</x:f>
        <x:v>116979.8137674398</x:v>
      </x:c>
      <x:c r="Q17" s="190" t="n">
        <x:f>IF('_設定'!$J$23=0,"—",'_計算年次'!$L$15)</x:f>
        <x:v>-151286.7446694678</x:v>
      </x:c>
    </x:row>
    <x:row r="18">
      <x:c r="A18" s="20" t="str">
        <x:f>IF('_設定'!$J$23=0,"—",'_計算月次'!$B$16)</x:f>
        <x:v>12月</x:v>
      </x:c>
      <x:c r="B18" s="192" t="n">
        <x:f>IF('_設定'!$J$23=0,"—",'_計算月次'!$E$16)</x:f>
        <x:v>119.266316</x:v>
      </x:c>
      <x:c r="C18" s="192" t="n">
        <x:f>IF('_設定'!$J$23=0,"—",'_計算月次'!$F$16)</x:f>
        <x:v>6.936842</x:v>
      </x:c>
      <x:c r="D18" s="192" t="n">
        <x:f>IF('_設定'!$J$23=0,"—",'_計算月次'!$H$16)</x:f>
        <x:v>0.984534211</x:v>
      </x:c>
      <x:c r="E18" s="563" t="n">
        <x:f>IF('_設定'!$J$23=0,"—",'_計算月次'!$J$16)</x:f>
        <x:v>443.97248688000184</x:v>
      </x:c>
      <x:c r="F18" s="563" t="n">
        <x:f>IF('_設定'!$J$23=0,"—",'_計算月次'!$L$16)</x:f>
        <x:v>177.58899475200076</x:v>
      </x:c>
      <x:c r="G18" s="563" t="n">
        <x:f>IF('_設定'!$J$23=0,"—",'_計算月次'!$M$16)</x:f>
        <x:v>266.3834921280011</x:v>
      </x:c>
      <x:c r="H18" s="190" t="n">
        <x:f>IF('_設定'!$J$23=0,"—",'_計算月次'!$P$16)</x:f>
        <x:v>12608.818627392053</x:v>
      </x:c>
      <x:c r="I18" s="527"/>
      <x:c r="J18" s="20" t="n">
        <x:f>IF('_設定'!$J$23=0,"—",'_計算年次'!$A$16)</x:f>
        <x:v>11</x:v>
      </x:c>
      <x:c r="K18" s="563" t="n">
        <x:f>IF('_設定'!$J$23=0,"—",'_計算年次'!$B$16)</x:f>
        <x:v>5764.939650333731</x:v>
      </x:c>
      <x:c r="L18" s="563" t="n">
        <x:f>IF('_設定'!$J$23=0,"—",'_計算年次'!$C$16)</x:f>
        <x:v>2305.9758601334925</x:v>
      </x:c>
      <x:c r="M18" s="563" t="n">
        <x:f>IF('_設定'!$J$23=0,"—",'_計算年次'!$D$16)</x:f>
        <x:v>3458.9637902002387</x:v>
      </x:c>
      <x:c r="N18" s="185" t="n">
        <x:f>IF('_設定'!$J$23=0,"—",'_計算年次'!$E$16)</x:f>
        <x:v>38.66177438939216</x:v>
      </x:c>
      <x:c r="O18" s="185" t="n">
        <x:f>IF('_設定'!$J$23=0,"—",'_計算年次'!$F$16)</x:f>
        <x:v>8.3</x:v>
      </x:c>
      <x:c r="P18" s="190" t="n">
        <x:f>IF('_設定'!$J$23=0,"—",'_計算年次'!$K$16)</x:f>
        <x:v>117862.51791052759</x:v>
      </x:c>
      <x:c r="Q18" s="190" t="n">
        <x:f>IF('_設定'!$J$23=0,"—",'_計算年次'!$L$16)</x:f>
        <x:v>-33424.2267589402</x:v>
      </x:c>
    </x:row>
    <x:row r="19">
      <x:c r="A19" s="564" t="str">
        <x:v>年計</x:v>
      </x:c>
      <x:c r="B19" s="565" t="n">
        <x:f>IF('_設定'!$J$23=0,"—",'_計算月次'!$E$17)</x:f>
        <x:v>1612.647894</x:v>
      </x:c>
      <x:c r="C19" s="565"/>
      <x:c r="D19" s="565"/>
      <x:c r="E19" s="566" t="n">
        <x:f>IF('_設定'!$J$23=0,"—",'_計算月次'!$J$17)</x:f>
        <x:v>5764.939650333731</x:v>
      </x:c>
      <x:c r="F19" s="566" t="n">
        <x:f>IF('_設定'!$J$23=0,"—",'_計算月次'!$L$17)</x:f>
        <x:v>2305.9758601334925</x:v>
      </x:c>
      <x:c r="G19" s="566" t="n">
        <x:f>IF('_設定'!$J$23=0,"—",'_計算月次'!$M$17)</x:f>
        <x:v>3458.9637902002387</x:v>
      </x:c>
      <x:c r="H19" s="567" t="n">
        <x:f>IF('_設定'!$J$23=0,"—",'_計算月次'!$P$17)</x:f>
        <x:v>163724.28606947794</x:v>
      </x:c>
      <x:c r="I19" s="527"/>
      <x:c r="J19" s="20" t="n">
        <x:f>IF('_設定'!$J$23=0,"—",'_計算年次'!$A$17)</x:f>
        <x:v>12</x:v>
      </x:c>
      <x:c r="K19" s="563" t="n">
        <x:f>IF('_設定'!$J$23=0,"—",'_計算年次'!$B$17)</x:f>
        <x:v>5764.939650333731</x:v>
      </x:c>
      <x:c r="L19" s="563" t="n">
        <x:f>IF('_設定'!$J$23=0,"—",'_計算年次'!$C$17)</x:f>
        <x:v>2305.9758601334925</x:v>
      </x:c>
      <x:c r="M19" s="563" t="n">
        <x:f>IF('_設定'!$J$23=0,"—",'_計算年次'!$D$17)</x:f>
        <x:v>3458.9637902002387</x:v>
      </x:c>
      <x:c r="N19" s="185" t="n">
        <x:f>IF('_設定'!$J$23=0,"—",'_計算年次'!$E$17)</x:f>
        <x:v>39.04839213328608</x:v>
      </x:c>
      <x:c r="O19" s="185" t="n">
        <x:f>IF('_設定'!$J$23=0,"—",'_計算年次'!$F$17)</x:f>
        <x:v>8.3</x:v>
      </x:c>
      <x:c r="P19" s="190" t="n">
        <x:f>IF('_設定'!$J$23=0,"—",'_計算年次'!$K$17)</x:f>
        <x:v>-131245.9509049538</x:v>
      </x:c>
      <x:c r="Q19" s="190" t="n">
        <x:f>IF('_設定'!$J$23=0,"—",'_計算年次'!$L$17)</x:f>
        <x:v>-164670.177663894</x:v>
      </x:c>
    </x:row>
    <x:row r="20">
      <x:c r="A20" s="527"/>
      <x:c r="B20" s="527"/>
      <x:c r="C20" s="527"/>
      <x:c r="D20" s="527"/>
      <x:c r="E20" s="527"/>
      <x:c r="F20" s="527"/>
      <x:c r="G20" s="527"/>
      <x:c r="H20" s="527"/>
      <x:c r="I20" s="527"/>
      <x:c r="J20" s="20" t="n">
        <x:f>IF('_設定'!$J$23=0,"—",'_計算年次'!$A$18)</x:f>
        <x:v>13</x:v>
      </x:c>
      <x:c r="K20" s="563" t="n">
        <x:f>IF('_設定'!$J$23=0,"—",'_計算年次'!$B$18)</x:f>
        <x:v>5764.939650333731</x:v>
      </x:c>
      <x:c r="L20" s="563" t="n">
        <x:f>IF('_設定'!$J$23=0,"—",'_計算年次'!$C$18)</x:f>
        <x:v>2305.9758601334925</x:v>
      </x:c>
      <x:c r="M20" s="563" t="n">
        <x:f>IF('_設定'!$J$23=0,"—",'_計算年次'!$D$18)</x:f>
        <x:v>3458.9637902002387</x:v>
      </x:c>
      <x:c r="N20" s="185" t="n">
        <x:f>IF('_設定'!$J$23=0,"—",'_計算年次'!$E$18)</x:f>
        <x:v>39.438876054618945</x:v>
      </x:c>
      <x:c r="O20" s="185" t="n">
        <x:f>IF('_設定'!$J$23=0,"—",'_計算年次'!$F$18)</x:f>
        <x:v>8.3</x:v>
      </x:c>
      <x:c r="P20" s="190" t="n">
        <x:f>IF('_設定'!$J$23=0,"—",'_計算年次'!$K$18)</x:f>
        <x:v>119654.49559141009</x:v>
      </x:c>
      <x:c r="Q20" s="190" t="n">
        <x:f>IF('_設定'!$J$23=0,"—",'_計算年次'!$L$18)</x:f>
        <x:v>-45015.682072483905</x:v>
      </x:c>
    </x:row>
    <x:row r="21">
      <x:c r="A21" s="527"/>
      <x:c r="B21" s="527"/>
      <x:c r="C21" s="527"/>
      <x:c r="D21" s="527"/>
      <x:c r="E21" s="527"/>
      <x:c r="F21" s="527"/>
      <x:c r="G21" s="527"/>
      <x:c r="H21" s="527"/>
      <x:c r="I21" s="527"/>
      <x:c r="J21" s="20" t="n">
        <x:f>IF('_設定'!$J$23=0,"—",'_計算年次'!$A$19)</x:f>
        <x:v>14</x:v>
      </x:c>
      <x:c r="K21" s="563" t="n">
        <x:f>IF('_設定'!$J$23=0,"—",'_計算年次'!$B$19)</x:f>
        <x:v>5764.939650333731</x:v>
      </x:c>
      <x:c r="L21" s="563" t="n">
        <x:f>IF('_設定'!$J$23=0,"—",'_計算年次'!$C$19)</x:f>
        <x:v>2305.9758601334925</x:v>
      </x:c>
      <x:c r="M21" s="563" t="n">
        <x:f>IF('_設定'!$J$23=0,"—",'_計算年次'!$D$19)</x:f>
        <x:v>3458.9637902002387</x:v>
      </x:c>
      <x:c r="N21" s="185" t="n">
        <x:f>IF('_設定'!$J$23=0,"—",'_計算年次'!$E$19)</x:f>
        <x:v>39.83326481516513</x:v>
      </x:c>
      <x:c r="O21" s="185" t="n">
        <x:f>IF('_設定'!$J$23=0,"—",'_計算年次'!$F$19)</x:f>
        <x:v>8.3</x:v>
      </x:c>
      <x:c r="P21" s="190" t="n">
        <x:f>IF('_設定'!$J$23=0,"—",'_計算年次'!$K$19)</x:f>
        <x:v>120563.94655273756</x:v>
      </x:c>
      <x:c r="Q21" s="190" t="n">
        <x:f>IF('_設定'!$J$23=0,"—",'_計算年次'!$L$19)</x:f>
        <x:v>75548.26448025365</x:v>
      </x:c>
    </x:row>
    <x:row r="22">
      <x:c r="A22" s="33" t="str">
        <x:v>読み方
・発電量は代表地点・南30°の初年度推定。
・自家消費は同時消費可能上限率と月需要の小さい方。
・恒久回収年は、その年以降20年目まで累積CFが再びマイナスにならない最初の年。
・20年損益は割引前で、初期費用、O&amp;M、PCS交換を差し引いた後。</x:v>
      </x:c>
      <x:c r="B22" s="34"/>
      <x:c r="C22" s="34"/>
      <x:c r="D22" s="34"/>
      <x:c r="E22" s="34"/>
      <x:c r="F22" s="34"/>
      <x:c r="G22" s="34"/>
      <x:c r="H22" s="35"/>
      <x:c r="I22" s="527"/>
      <x:c r="J22" s="20" t="n">
        <x:f>IF('_設定'!$J$23=0,"—",'_計算年次'!$A$20)</x:f>
        <x:v>15</x:v>
      </x:c>
      <x:c r="K22" s="563" t="n">
        <x:f>IF('_設定'!$J$23=0,"—",'_計算年次'!$B$20)</x:f>
        <x:v>5764.939650333731</x:v>
      </x:c>
      <x:c r="L22" s="563" t="n">
        <x:f>IF('_設定'!$J$23=0,"—",'_計算年次'!$C$20)</x:f>
        <x:v>2305.9758601334925</x:v>
      </x:c>
      <x:c r="M22" s="563" t="n">
        <x:f>IF('_設定'!$J$23=0,"—",'_計算年次'!$D$20)</x:f>
        <x:v>3458.9637902002387</x:v>
      </x:c>
      <x:c r="N22" s="185" t="n">
        <x:f>IF('_設定'!$J$23=0,"—",'_計算年次'!$E$20)</x:f>
        <x:v>40.23159746331679</x:v>
      </x:c>
      <x:c r="O22" s="185" t="n">
        <x:f>IF('_設定'!$J$23=0,"—",'_計算年次'!$F$20)</x:f>
        <x:v>8.3</x:v>
      </x:c>
      <x:c r="P22" s="190" t="n">
        <x:f>IF('_設定'!$J$23=0,"—",'_計算年次'!$K$20)</x:f>
        <x:v>121482.49202367835</x:v>
      </x:c>
      <x:c r="Q22" s="190" t="n">
        <x:f>IF('_設定'!$J$23=0,"—",'_計算年次'!$L$20)</x:f>
        <x:v>197030.756503932</x:v>
      </x:c>
    </x:row>
    <x:row r="23">
      <x:c r="A23" s="36"/>
      <x:c r="B23" s="37"/>
      <x:c r="C23" s="37"/>
      <x:c r="D23" s="37"/>
      <x:c r="E23" s="37"/>
      <x:c r="F23" s="37"/>
      <x:c r="G23" s="37"/>
      <x:c r="H23" s="38"/>
      <x:c r="I23" s="527"/>
      <x:c r="J23" s="20" t="n">
        <x:f>IF('_設定'!$J$23=0,"—",'_計算年次'!$A$21)</x:f>
        <x:v>16</x:v>
      </x:c>
      <x:c r="K23" s="563" t="n">
        <x:f>IF('_設定'!$J$23=0,"—",'_計算年次'!$B$21)</x:f>
        <x:v>5764.939650333731</x:v>
      </x:c>
      <x:c r="L23" s="563" t="n">
        <x:f>IF('_設定'!$J$23=0,"—",'_計算年次'!$C$21)</x:f>
        <x:v>2305.9758601334925</x:v>
      </x:c>
      <x:c r="M23" s="563" t="n">
        <x:f>IF('_設定'!$J$23=0,"—",'_計算年次'!$D$21)</x:f>
        <x:v>3458.9637902002387</x:v>
      </x:c>
      <x:c r="N23" s="185" t="n">
        <x:f>IF('_設定'!$J$23=0,"—",'_計算年次'!$E$21)</x:f>
        <x:v>40.63391343794996</x:v>
      </x:c>
      <x:c r="O23" s="185" t="n">
        <x:f>IF('_設定'!$J$23=0,"—",'_計算年次'!$F$21)</x:f>
        <x:v>8.3</x:v>
      </x:c>
      <x:c r="P23" s="190" t="n">
        <x:f>IF('_設定'!$J$23=0,"—",'_計算年次'!$K$21)</x:f>
        <x:v>122410.22294932851</x:v>
      </x:c>
      <x:c r="Q23" s="190" t="n">
        <x:f>IF('_設定'!$J$23=0,"—",'_計算年次'!$L$21)</x:f>
        <x:v>319440.97945326054</x:v>
      </x:c>
    </x:row>
    <x:row r="24">
      <x:c r="A24" s="36"/>
      <x:c r="B24" s="37"/>
      <x:c r="C24" s="37"/>
      <x:c r="D24" s="37"/>
      <x:c r="E24" s="37"/>
      <x:c r="F24" s="37"/>
      <x:c r="G24" s="37"/>
      <x:c r="H24" s="38"/>
      <x:c r="I24" s="527"/>
      <x:c r="J24" s="20" t="n">
        <x:f>IF('_設定'!$J$23=0,"—",'_計算年次'!$A$22)</x:f>
        <x:v>17</x:v>
      </x:c>
      <x:c r="K24" s="563" t="n">
        <x:f>IF('_設定'!$J$23=0,"—",'_計算年次'!$B$22)</x:f>
        <x:v>5764.939650333731</x:v>
      </x:c>
      <x:c r="L24" s="563" t="n">
        <x:f>IF('_設定'!$J$23=0,"—",'_計算年次'!$C$22)</x:f>
        <x:v>2305.9758601334925</x:v>
      </x:c>
      <x:c r="M24" s="563" t="n">
        <x:f>IF('_設定'!$J$23=0,"—",'_計算年次'!$D$22)</x:f>
        <x:v>3458.9637902002387</x:v>
      </x:c>
      <x:c r="N24" s="185" t="n">
        <x:f>IF('_設定'!$J$23=0,"—",'_計算年次'!$E$22)</x:f>
        <x:v>41.04025257232946</x:v>
      </x:c>
      <x:c r="O24" s="185" t="n">
        <x:f>IF('_設定'!$J$23=0,"—",'_計算年次'!$F$22)</x:f>
        <x:v>8.3</x:v>
      </x:c>
      <x:c r="P24" s="190" t="n">
        <x:f>IF('_設定'!$J$23=0,"—",'_計算年次'!$K$22)</x:f>
        <x:v>123347.23118423513</x:v>
      </x:c>
      <x:c r="Q24" s="190" t="n">
        <x:f>IF('_設定'!$J$23=0,"—",'_計算年次'!$L$22)</x:f>
        <x:v>442788.2106374957</x:v>
      </x:c>
    </x:row>
    <x:row r="25">
      <x:c r="A25" s="36"/>
      <x:c r="B25" s="37"/>
      <x:c r="C25" s="37"/>
      <x:c r="D25" s="37"/>
      <x:c r="E25" s="37"/>
      <x:c r="F25" s="37"/>
      <x:c r="G25" s="37"/>
      <x:c r="H25" s="38"/>
      <x:c r="I25" s="527"/>
      <x:c r="J25" s="20" t="n">
        <x:f>IF('_設定'!$J$23=0,"—",'_計算年次'!$A$23)</x:f>
        <x:v>18</x:v>
      </x:c>
      <x:c r="K25" s="563" t="n">
        <x:f>IF('_設定'!$J$23=0,"—",'_計算年次'!$B$23)</x:f>
        <x:v>5764.939650333731</x:v>
      </x:c>
      <x:c r="L25" s="563" t="n">
        <x:f>IF('_設定'!$J$23=0,"—",'_計算年次'!$C$23)</x:f>
        <x:v>2305.9758601334925</x:v>
      </x:c>
      <x:c r="M25" s="563" t="n">
        <x:f>IF('_設定'!$J$23=0,"—",'_計算年次'!$D$23)</x:f>
        <x:v>3458.9637902002387</x:v>
      </x:c>
      <x:c r="N25" s="185" t="n">
        <x:f>IF('_設定'!$J$23=0,"—",'_計算年次'!$E$23)</x:f>
        <x:v>41.45065509805275</x:v>
      </x:c>
      <x:c r="O25" s="185" t="n">
        <x:f>IF('_設定'!$J$23=0,"—",'_計算年次'!$F$23)</x:f>
        <x:v>8.3</x:v>
      </x:c>
      <x:c r="P25" s="190" t="n">
        <x:f>IF('_設定'!$J$23=0,"—",'_計算年次'!$K$23)</x:f>
        <x:v>124293.6095014909</x:v>
      </x:c>
      <x:c r="Q25" s="190" t="n">
        <x:f>IF('_設定'!$J$23=0,"—",'_計算年次'!$L$23)</x:f>
        <x:v>567081.8201389866</x:v>
      </x:c>
    </x:row>
    <x:row r="26">
      <x:c r="A26" s="36"/>
      <x:c r="B26" s="37"/>
      <x:c r="C26" s="37"/>
      <x:c r="D26" s="37"/>
      <x:c r="E26" s="37"/>
      <x:c r="F26" s="37"/>
      <x:c r="G26" s="37"/>
      <x:c r="H26" s="38"/>
      <x:c r="I26" s="527"/>
      <x:c r="J26" s="20" t="n">
        <x:f>IF('_設定'!$J$23=0,"—",'_計算年次'!$A$24)</x:f>
        <x:v>19</x:v>
      </x:c>
      <x:c r="K26" s="563" t="n">
        <x:f>IF('_設定'!$J$23=0,"—",'_計算年次'!$B$24)</x:f>
        <x:v>5764.939650333731</x:v>
      </x:c>
      <x:c r="L26" s="563" t="n">
        <x:f>IF('_設定'!$J$23=0,"—",'_計算年次'!$C$24)</x:f>
        <x:v>2305.9758601334925</x:v>
      </x:c>
      <x:c r="M26" s="563" t="n">
        <x:f>IF('_設定'!$J$23=0,"—",'_計算年次'!$D$24)</x:f>
        <x:v>3458.9637902002387</x:v>
      </x:c>
      <x:c r="N26" s="185" t="n">
        <x:f>IF('_設定'!$J$23=0,"—",'_計算年次'!$E$24)</x:f>
        <x:v>41.865161649033276</x:v>
      </x:c>
      <x:c r="O26" s="185" t="n">
        <x:f>IF('_設定'!$J$23=0,"—",'_計算年次'!$F$24)</x:f>
        <x:v>8.3</x:v>
      </x:c>
      <x:c r="P26" s="190" t="n">
        <x:f>IF('_設定'!$J$23=0,"—",'_計算年次'!$K$24)</x:f>
        <x:v>125249.4516019192</x:v>
      </x:c>
      <x:c r="Q26" s="190" t="n">
        <x:f>IF('_設定'!$J$23=0,"—",'_計算年次'!$L$24)</x:f>
        <x:v>692331.2717409057</x:v>
      </x:c>
    </x:row>
    <x:row r="27">
      <x:c r="A27" s="39"/>
      <x:c r="B27" s="40"/>
      <x:c r="C27" s="40"/>
      <x:c r="D27" s="40"/>
      <x:c r="E27" s="40"/>
      <x:c r="F27" s="40"/>
      <x:c r="G27" s="40"/>
      <x:c r="H27" s="41"/>
      <x:c r="I27" s="527"/>
      <x:c r="J27" s="20" t="n">
        <x:f>IF('_設定'!$J$23=0,"—",'_計算年次'!$A$25)</x:f>
        <x:v>20</x:v>
      </x:c>
      <x:c r="K27" s="563" t="n">
        <x:f>IF('_設定'!$J$23=0,"—",'_計算年次'!$B$25)</x:f>
        <x:v>5764.939650333731</x:v>
      </x:c>
      <x:c r="L27" s="563" t="n">
        <x:f>IF('_設定'!$J$23=0,"—",'_計算年次'!$C$25)</x:f>
        <x:v>2305.9758601334925</x:v>
      </x:c>
      <x:c r="M27" s="563" t="n">
        <x:f>IF('_設定'!$J$23=0,"—",'_計算年次'!$D$25)</x:f>
        <x:v>3458.9637902002387</x:v>
      </x:c>
      <x:c r="N27" s="185" t="n">
        <x:f>IF('_設定'!$J$23=0,"—",'_計算年次'!$E$25)</x:f>
        <x:v>42.283813265523605</x:v>
      </x:c>
      <x:c r="O27" s="185" t="n">
        <x:f>IF('_設定'!$J$23=0,"—",'_計算年次'!$F$25)</x:f>
        <x:v>8.3</x:v>
      </x:c>
      <x:c r="P27" s="190" t="n">
        <x:f>IF('_設定'!$J$23=0,"—",'_計算年次'!$K$25)</x:f>
        <x:v>126214.85212335174</x:v>
      </x:c>
      <x:c r="Q27" s="190" t="n">
        <x:f>IF('_設定'!$J$23=0,"—",'_計算年次'!$L$25)</x:f>
        <x:v>818546.1238642575</x:v>
      </x:c>
    </x:row>
    <x:row r="28">
      <x:c r="A28" s="527"/>
      <x:c r="B28" s="527"/>
      <x:c r="C28" s="527"/>
      <x:c r="D28" s="527"/>
      <x:c r="E28" s="527"/>
      <x:c r="F28" s="527"/>
      <x:c r="G28" s="527"/>
      <x:c r="H28" s="527"/>
      <x:c r="I28" s="527"/>
      <x:c r="J28" s="527"/>
      <x:c r="K28" s="527"/>
      <x:c r="L28" s="527"/>
      <x:c r="M28" s="527"/>
      <x:c r="N28" s="527"/>
      <x:c r="O28" s="527"/>
      <x:c r="P28" s="527"/>
      <x:c r="Q28" s="527"/>
    </x:row>
    <x:row r="29">
      <x:c r="A29" s="527"/>
      <x:c r="B29" s="527"/>
      <x:c r="C29" s="527"/>
      <x:c r="D29" s="527"/>
      <x:c r="E29" s="527"/>
      <x:c r="F29" s="527"/>
      <x:c r="G29" s="527"/>
      <x:c r="H29" s="527"/>
      <x:c r="I29" s="527"/>
      <x:c r="J29" s="527"/>
      <x:c r="K29" s="527"/>
      <x:c r="L29" s="527"/>
      <x:c r="M29" s="527"/>
      <x:c r="N29" s="527"/>
      <x:c r="O29" s="527"/>
      <x:c r="P29" s="527"/>
      <x:c r="Q29" s="527"/>
    </x:row>
  </x:sheetData>
  <x:sheetProtection sheet="1" objects="0" scenarios="1" formatCells="1" formatColumns="1" formatRows="1" insertColumns="1" insertRows="1" insertHyperlinks="1" deleteColumns="1" deleteRows="1" selectLockedCells="0" selectUnlockedCells="0"/>
  <x:mergeCells>
    <x:mergeCell ref="A1:Q2"/>
    <x:mergeCell ref="A3:Q3"/>
    <x:mergeCell ref="A4:Q4"/>
    <x:mergeCell ref="A5:H5"/>
    <x:mergeCell ref="J5:Q5"/>
    <x:mergeCell ref="A22:H27"/>
  </x:mergeCells>
  <x:conditionalFormatting sqref="Q7:Q27">
    <x:cfRule type="colorScale" priority="1">
      <x:colorScale>
        <x:cfvo type="min"/>
        <x:cfvo type="percentile" val="50"/>
        <x:cfvo type="max"/>
        <x:color rgb="FFFEE4E2"/>
        <x:color rgb="FFFFFFFF"/>
        <x:color rgb="FFECFDF3"/>
      </x:colorScale>
    </x:cfRule>
  </x:conditionalFormatting>
  <x:pageMargins left="0.25" right="0.25" top="0.4" bottom="0.4" header="0.2" footer="0.2"/>
  <x:pageSetup paperSize="9" orientation="landscape" fitToWidth="1" fitToHeight="1"/>
</x:worksheet>
</file>

<file path=xl/worksheets/sheet4.xml><?xml version="1.0" encoding="utf-8"?>
<x:worksheet xmlns:x="http://schemas.openxmlformats.org/spreadsheetml/2006/main">
  <x:sheetPr>
    <x:pageSetUpPr fitToPage="1"/>
  </x:sheetPr>
  <x:sheetViews>
    <x:sheetView showGridLines="0" workbookViewId="0">
      <x:pane ySplit="3" topLeftCell="A4" activePane="bottomLeft" state="frozen"/>
    </x:sheetView>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1">
      <x:c r="A1" s="526" t="str">
        <x:v>条件比較｜1つの数字ではなく振れ幅で判断</x:v>
      </x:c>
      <x:c r="B1" s="526"/>
      <x:c r="C1" s="526"/>
      <x:c r="D1" s="526"/>
      <x:c r="E1" s="526"/>
      <x:c r="F1" s="526"/>
      <x:c r="G1" s="526"/>
      <x:c r="H1" s="526"/>
      <x:c r="I1" s="526"/>
      <x:c r="J1" s="526"/>
    </x:row>
    <x:row r="2">
      <x:c r="A2" s="526"/>
      <x:c r="B2" s="526"/>
      <x:c r="C2" s="526"/>
      <x:c r="D2" s="526"/>
      <x:c r="E2" s="526"/>
      <x:c r="F2" s="526"/>
      <x:c r="G2" s="526"/>
      <x:c r="H2" s="526"/>
      <x:c r="I2" s="526"/>
      <x:c r="J2" s="526"/>
    </x:row>
    <x:row r="3">
      <x:c r="A3" s="8" t="str">
        <x:v>任意ストレステスト｜慎重：日射−10%・設置費＋10%・同時消費上限−5pt／標準：入力値／上振れ：日射＋10%・設置費−10%・同時消費上限＋5pt</x:v>
      </x:c>
      <x:c r="B3" s="8"/>
      <x:c r="C3" s="8"/>
      <x:c r="D3" s="8"/>
      <x:c r="E3" s="8"/>
      <x:c r="F3" s="8"/>
      <x:c r="G3" s="8"/>
      <x:c r="H3" s="8"/>
      <x:c r="I3" s="8"/>
      <x:c r="J3" s="8"/>
    </x:row>
    <x:row r="4">
      <x:c r="A4" s="275" t="str">
        <x:f>IF('_設定'!$J$23=1,"入力状態：PASS","入力エラー：比較計算を停止しています")</x:f>
        <x:v>入力状態：PASS</x:v>
      </x:c>
      <x:c r="B4" s="275"/>
      <x:c r="C4" s="275"/>
      <x:c r="D4" s="275"/>
      <x:c r="E4" s="275"/>
      <x:c r="F4" s="275"/>
      <x:c r="G4" s="275"/>
      <x:c r="H4" s="275"/>
      <x:c r="I4" s="275"/>
      <x:c r="J4" s="275"/>
    </x:row>
    <x:row r="5">
      <x:c r="A5" s="187" t="str">
        <x:v>3条件の比較</x:v>
      </x:c>
      <x:c r="B5" s="187"/>
      <x:c r="C5" s="187"/>
      <x:c r="D5" s="187"/>
      <x:c r="E5" s="187"/>
      <x:c r="F5" s="187"/>
      <x:c r="G5" s="187"/>
      <x:c r="H5" s="187"/>
      <x:c r="I5" s="187"/>
      <x:c r="J5" s="187"/>
    </x:row>
    <x:row r="6">
      <x:c r="A6" s="527"/>
      <x:c r="B6" s="527"/>
      <x:c r="C6" s="527"/>
      <x:c r="D6" s="527"/>
      <x:c r="E6" s="527"/>
      <x:c r="F6" s="527"/>
      <x:c r="G6" s="527"/>
      <x:c r="H6" s="527"/>
      <x:c r="I6" s="527"/>
      <x:c r="J6" s="527"/>
    </x:row>
    <x:row r="7">
      <x:c r="A7" s="13" t="str">
        <x:v>ケース</x:v>
      </x:c>
      <x:c r="B7" s="13" t="str">
        <x:v>日射倍率</x:v>
      </x:c>
      <x:c r="C7" s="13" t="str">
        <x:v>設置費倍率</x:v>
      </x:c>
      <x:c r="D7" s="13" t="str">
        <x:v>同時消費上限</x:v>
      </x:c>
      <x:c r="E7" s="13" t="str">
        <x:v>初年度発電</x:v>
      </x:c>
      <x:c r="F7" s="13" t="str">
        <x:v>初年度効果</x:v>
      </x:c>
      <x:c r="G7" s="13" t="str">
        <x:v>20年累積損益（割引前）</x:v>
      </x:c>
      <x:c r="H7" s="13" t="str">
        <x:v>恒久回収</x:v>
      </x:c>
      <x:c r="I7" s="527"/>
      <x:c r="J7" s="527"/>
    </x:row>
    <x:row r="8">
      <x:c r="A8" s="20" t="str">
        <x:f>'_シナリオ'!$A$5</x:f>
        <x:v>慎重</x:v>
      </x:c>
      <x:c r="B8" s="188" t="n">
        <x:f>'_シナリオ'!$C$5</x:f>
        <x:v>0.9</x:v>
      </x:c>
      <x:c r="C8" s="188" t="n">
        <x:f>'_シナリオ'!$D$5</x:f>
        <x:v>1.1</x:v>
      </x:c>
      <x:c r="D8" s="188" t="n">
        <x:f>'_シナリオ'!$E$5</x:f>
        <x:v>0.35000000000000003</x:v>
      </x:c>
      <x:c r="E8" s="551" t="n">
        <x:f>IF('_設定'!$J$23=0,"入力エラー",'_シナリオ'!$F$6)</x:f>
        <x:v>5188.4456853003585</x:v>
      </x:c>
      <x:c r="F8" s="190" t="n">
        <x:f>IF('_設定'!$J$23=0,"入力エラー",'_シナリオ'!$K$6+'_シナリオ'!$L$6)</x:f>
        <x:v>144498.21233561495</x:v>
      </x:c>
      <x:c r="G8" s="190" t="n">
        <x:f>IF('_設定'!$J$23=0,"入力エラー",'_シナリオ'!$P$25)</x:f>
        <x:v>271119.619142693</x:v>
      </x:c>
      <x:c r="H8" s="186" t="n">
        <x:f>IF('_設定'!$J$23=0,"入力エラー",IF(MAX('3分入力'!$D$8,0)=0,"対象外",IF(ABS('_シナリオ'!$P$5)&lt;0.000001,"初期負担0円",IF(COUNT('_シナリオ'!$Q$6:$Q$25)=0,"20年内未回収",MIN('_シナリオ'!$Q$6:$Q$25)))))</x:f>
        <x:v>18</x:v>
      </x:c>
      <x:c r="I8" s="527"/>
      <x:c r="J8" s="527"/>
    </x:row>
    <x:row r="9">
      <x:c r="A9" s="568" t="str">
        <x:f>'_シナリオ'!$A$26</x:f>
        <x:v>標準</x:v>
      </x:c>
      <x:c r="B9" s="569" t="n">
        <x:f>'_シナリオ'!$C$26</x:f>
        <x:v>1</x:v>
      </x:c>
      <x:c r="C9" s="569" t="n">
        <x:f>'_シナリオ'!$D$26</x:f>
        <x:v>1</x:v>
      </x:c>
      <x:c r="D9" s="569" t="n">
        <x:f>'_シナリオ'!$E$26</x:f>
        <x:v>0.4</x:v>
      </x:c>
      <x:c r="E9" s="570" t="n">
        <x:f>IF('_設定'!$J$23=0,"入力エラー",'_シナリオ'!$F$27)</x:f>
        <x:v>5764.939650333731</x:v>
      </x:c>
      <x:c r="F9" s="571" t="n">
        <x:f>IF('_設定'!$J$23=0,"入力エラー",'_シナリオ'!$K$27+'_シナリオ'!$L$27)</x:f>
        <x:v>163724.28606947797</x:v>
      </x:c>
      <x:c r="G9" s="571" t="n">
        <x:f>IF('_設定'!$J$23=0,"入力エラー",'_シナリオ'!$P$46)</x:f>
        <x:v>818546.1238642575</x:v>
      </x:c>
      <x:c r="H9" s="572" t="n">
        <x:f>IF('_設定'!$J$23=0,"入力エラー",IF(MAX('3分入力'!$D$8,0)=0,"対象外",IF(ABS('_シナリオ'!$P$26)&lt;0.000001,"初期負担0円",IF(COUNT('_シナリオ'!$Q$27:$Q$46)=0,"20年内未回収",MIN('_シナリオ'!$Q$27:$Q$46)))))</x:f>
        <x:v>14</x:v>
      </x:c>
      <x:c r="I9" s="527"/>
      <x:c r="J9" s="527"/>
    </x:row>
    <x:row r="10">
      <x:c r="A10" s="20" t="str">
        <x:f>'_シナリオ'!$A$47</x:f>
        <x:v>上振れ</x:v>
      </x:c>
      <x:c r="B10" s="188" t="n">
        <x:f>'_シナリオ'!$C$47</x:f>
        <x:v>1.1</x:v>
      </x:c>
      <x:c r="C10" s="188" t="n">
        <x:f>'_シナリオ'!$D$47</x:f>
        <x:v>0.9</x:v>
      </x:c>
      <x:c r="D10" s="188" t="n">
        <x:f>'_シナリオ'!$E$47</x:f>
        <x:v>0.45</x:v>
      </x:c>
      <x:c r="E10" s="551" t="n">
        <x:f>IF('_設定'!$J$23=0,"入力エラー",'_シナリオ'!$F$48)</x:f>
        <x:v>6341.433615367105</x:v>
      </x:c>
      <x:c r="F10" s="190" t="n">
        <x:f>IF('_設定'!$J$23=0,"入力エラー",'_シナリオ'!$K$48+'_シナリオ'!$L$48)</x:f>
        <x:v>183584.50316487765</x:v>
      </x:c>
      <x:c r="G10" s="190" t="n">
        <x:f>IF('_設定'!$J$23=0,"入力エラー",'_シナリオ'!$P$67)</x:f>
        <x:v>1397210.8268825198</x:v>
      </x:c>
      <x:c r="H10" s="186" t="n">
        <x:f>IF('_設定'!$J$23=0,"入力エラー",IF(MAX('3分入力'!$D$8,0)=0,"対象外",IF(ABS('_シナリオ'!$P$47)&lt;0.000001,"初期負担0円",IF(COUNT('_シナリオ'!$Q$48:$Q$67)=0,"20年内未回収",MIN('_シナリオ'!$Q$48:$Q$67)))))</x:f>
        <x:v>9</x:v>
      </x:c>
      <x:c r="I10" s="527"/>
      <x:c r="J10" s="527"/>
    </x:row>
    <x:row r="11">
      <x:c r="A11" s="527"/>
      <x:c r="B11" s="527"/>
      <x:c r="C11" s="527"/>
      <x:c r="D11" s="527"/>
      <x:c r="E11" s="527"/>
      <x:c r="F11" s="527"/>
      <x:c r="G11" s="527"/>
      <x:c r="H11" s="527"/>
      <x:c r="I11" s="527"/>
      <x:c r="J11" s="527"/>
    </x:row>
    <x:row r="12">
      <x:c r="A12" s="527"/>
      <x:c r="B12" s="527"/>
      <x:c r="C12" s="527"/>
      <x:c r="D12" s="527"/>
      <x:c r="E12" s="527"/>
      <x:c r="F12" s="527"/>
      <x:c r="G12" s="527"/>
      <x:c r="H12" s="527"/>
      <x:c r="I12" s="527"/>
      <x:c r="J12" s="527"/>
    </x:row>
    <x:row r="13">
      <x:c r="A13" s="528" t="str">
        <x:v>意思決定に使う順番</x:v>
      </x:c>
      <x:c r="B13" s="528"/>
      <x:c r="C13" s="528"/>
      <x:c r="D13" s="528"/>
      <x:c r="E13" s="528"/>
      <x:c r="F13" s="528"/>
      <x:c r="G13" s="528"/>
      <x:c r="H13" s="528"/>
      <x:c r="I13" s="528"/>
      <x:c r="J13" s="528"/>
    </x:row>
    <x:row r="14">
      <x:c r="A14" s="527"/>
      <x:c r="B14" s="527"/>
      <x:c r="C14" s="527"/>
      <x:c r="D14" s="527"/>
      <x:c r="E14" s="527"/>
      <x:c r="F14" s="527"/>
      <x:c r="G14" s="527"/>
      <x:c r="H14" s="527"/>
      <x:c r="I14" s="527"/>
      <x:c r="J14" s="527"/>
    </x:row>
    <x:row r="15">
      <x:c r="A15" s="573" t="str">
        <x:v>1</x:v>
      </x:c>
      <x:c r="B15" s="527"/>
      <x:c r="C15" s="514" t="str">
        <x:v>容量の仮説</x:v>
      </x:c>
      <x:c r="D15" s="527"/>
      <x:c r="E15" s="515" t="str">
        <x:v>まず3～6kWなど候補容量を変更し、年間需要との釣り合いを確認</x:v>
      </x:c>
      <x:c r="F15" s="527"/>
      <x:c r="G15" s="527"/>
      <x:c r="H15" s="527"/>
      <x:c r="I15" s="527"/>
      <x:c r="J15" s="527"/>
    </x:row>
    <x:row r="16">
      <x:c r="A16" s="527"/>
      <x:c r="B16" s="527"/>
      <x:c r="C16" s="527"/>
      <x:c r="D16" s="527"/>
      <x:c r="E16" s="527"/>
      <x:c r="F16" s="527"/>
      <x:c r="G16" s="527"/>
      <x:c r="H16" s="527"/>
      <x:c r="I16" s="527"/>
      <x:c r="J16" s="527"/>
    </x:row>
    <x:row r="17">
      <x:c r="A17" s="573" t="str">
        <x:v>2</x:v>
      </x:c>
      <x:c r="B17" s="527"/>
      <x:c r="C17" s="514" t="str">
        <x:v>費用の境界</x:v>
      </x:c>
      <x:c r="D17" s="527"/>
      <x:c r="E17" s="515" t="str">
        <x:v>損益分岐設置費と実見積を比較。補助金は採択前提を分離</x:v>
      </x:c>
      <x:c r="F17" s="527"/>
      <x:c r="G17" s="527"/>
      <x:c r="H17" s="527"/>
      <x:c r="I17" s="527"/>
      <x:c r="J17" s="527"/>
    </x:row>
    <x:row r="18">
      <x:c r="A18" s="527"/>
      <x:c r="B18" s="527"/>
      <x:c r="C18" s="527"/>
      <x:c r="D18" s="527"/>
      <x:c r="E18" s="527"/>
      <x:c r="F18" s="527"/>
      <x:c r="G18" s="527"/>
      <x:c r="H18" s="527"/>
      <x:c r="I18" s="527"/>
      <x:c r="J18" s="527"/>
    </x:row>
    <x:row r="19">
      <x:c r="A19" s="573" t="str">
        <x:v>3</x:v>
      </x:c>
      <x:c r="B19" s="527"/>
      <x:c r="C19" s="514" t="str">
        <x:v>下振れ耐性</x:v>
      </x:c>
      <x:c r="D19" s="527"/>
      <x:c r="E19" s="515" t="str">
        <x:v>慎重ケースでも許容できるか。影・積雪があれば追加環境係数を下げる</x:v>
      </x:c>
      <x:c r="F19" s="527"/>
      <x:c r="G19" s="527"/>
      <x:c r="H19" s="527"/>
      <x:c r="I19" s="527"/>
      <x:c r="J19" s="527"/>
    </x:row>
    <x:row r="20">
      <x:c r="A20" s="527"/>
      <x:c r="B20" s="527"/>
      <x:c r="C20" s="527"/>
      <x:c r="D20" s="527"/>
      <x:c r="E20" s="527"/>
      <x:c r="F20" s="527"/>
      <x:c r="G20" s="527"/>
      <x:c r="H20" s="527"/>
      <x:c r="I20" s="527"/>
      <x:c r="J20" s="527"/>
    </x:row>
    <x:row r="21">
      <x:c r="A21" s="573" t="str">
        <x:v>4</x:v>
      </x:c>
      <x:c r="B21" s="527"/>
      <x:c r="C21" s="514" t="str">
        <x:v>個別診断</x:v>
      </x:c>
      <x:c r="D21" s="527"/>
      <x:c r="E21" s="515" t="str">
        <x:v>屋根面・機器・料金プラン・時刻別需要を反映して最終確認</x:v>
      </x:c>
      <x:c r="F21" s="527"/>
      <x:c r="G21" s="527"/>
      <x:c r="H21" s="527"/>
      <x:c r="I21" s="527"/>
      <x:c r="J21" s="527"/>
    </x:row>
    <x:row r="22">
      <x:c r="A22" s="527"/>
      <x:c r="B22" s="527"/>
      <x:c r="C22" s="527"/>
      <x:c r="D22" s="527"/>
      <x:c r="E22" s="527"/>
      <x:c r="F22" s="527"/>
      <x:c r="G22" s="527"/>
      <x:c r="H22" s="527"/>
      <x:c r="I22" s="527"/>
      <x:c r="J22" s="527"/>
    </x:row>
    <x:row r="23">
      <x:c r="A23" s="527"/>
      <x:c r="B23" s="527"/>
      <x:c r="C23" s="527"/>
      <x:c r="D23" s="527"/>
      <x:c r="E23" s="527"/>
      <x:c r="F23" s="527"/>
      <x:c r="G23" s="527"/>
      <x:c r="H23" s="527"/>
      <x:c r="I23" s="527"/>
      <x:c r="J23" s="527"/>
    </x:row>
    <x:row r="24">
      <x:c r="A24" s="52" t="str">
        <x:v>3条件とも20年×12か月を同じ式で再計算。標準ケースは本体と一致します。±10%・±5ptは確率区間ではなく任意のストレス条件です。</x:v>
      </x:c>
      <x:c r="B24" s="53"/>
      <x:c r="C24" s="53"/>
      <x:c r="D24" s="53"/>
      <x:c r="E24" s="53"/>
      <x:c r="F24" s="53"/>
      <x:c r="G24" s="53"/>
      <x:c r="H24" s="53"/>
      <x:c r="I24" s="53"/>
      <x:c r="J24" s="54"/>
    </x:row>
  </x:sheetData>
  <x:sheetProtection sheet="1" objects="0" scenarios="1" formatCells="1" formatColumns="1" formatRows="1" insertColumns="1" insertRows="1" insertHyperlinks="1" deleteColumns="1" deleteRows="1" selectLockedCells="0" selectUnlockedCells="0"/>
  <x:mergeCells>
    <x:mergeCell ref="A1:J2"/>
    <x:mergeCell ref="A3:J3"/>
    <x:mergeCell ref="A4:J4"/>
    <x:mergeCell ref="A5:J5"/>
    <x:mergeCell ref="A13:J13"/>
    <x:mergeCell ref="A15:B16"/>
    <x:mergeCell ref="C15:D16"/>
    <x:mergeCell ref="E15:J16"/>
    <x:mergeCell ref="A17:B18"/>
    <x:mergeCell ref="C17:D18"/>
    <x:mergeCell ref="E17:J18"/>
    <x:mergeCell ref="A19:B20"/>
    <x:mergeCell ref="C19:D20"/>
    <x:mergeCell ref="E19:J20"/>
    <x:mergeCell ref="A21:B22"/>
    <x:mergeCell ref="C21:D22"/>
    <x:mergeCell ref="E21:J22"/>
    <x:mergeCell ref="A24:J24"/>
  </x:mergeCells>
  <x:pageMargins left="0.25" right="0.25" top="0.4" bottom="0.4" header="0.2" footer="0.2"/>
  <x:pageSetup paperSize="9" orientation="landscape" fitToWidth="1" fitToHeight="1"/>
</x:worksheet>
</file>

<file path=xl/worksheets/sheet5.xml><?xml version="1.0" encoding="utf-8"?>
<x:worksheet xmlns:x="http://schemas.openxmlformats.org/spreadsheetml/2006/main">
  <x:sheetPr>
    <x:pageSetUpPr fitToPage="1"/>
  </x:sheetPr>
  <x:sheetViews>
    <x:sheetView showGridLines="0" workbookViewId="0">
      <x:pane ySplit="3" topLeftCell="A4" activePane="bottomLeft" state="frozen"/>
    </x:sheetView>
  </x:sheetViews>
  <x:sheetFormatPr defaultRowHeight="15"/>
  <x:cols>
    <x:col min="1" max="1" width="16" hidden="0" customWidth="1"/>
    <x:col min="2" max="2" width="16" hidden="0" customWidth="1"/>
    <x:col min="3" max="3" width="16" hidden="0" customWidth="1"/>
    <x:col min="4" max="4" width="13" hidden="0" customWidth="1"/>
    <x:col min="5" max="5" width="13" hidden="0" customWidth="1"/>
    <x:col min="6" max="6" width="18" hidden="0" customWidth="1"/>
    <x:col min="7" max="7" width="18" hidden="0" customWidth="1"/>
    <x:col min="8" max="8" width="18" hidden="0" customWidth="1"/>
  </x:cols>
  <x:sheetData>
    <x:row r="1">
      <x:c r="A1" s="526" t="str">
        <x:v>詳細設定｜初期値はすべて変更可能</x:v>
      </x:c>
      <x:c r="B1" s="526"/>
      <x:c r="C1" s="526"/>
      <x:c r="D1" s="526"/>
      <x:c r="E1" s="526"/>
      <x:c r="F1" s="526"/>
      <x:c r="G1" s="526"/>
      <x:c r="H1" s="526"/>
    </x:row>
    <x:row r="2">
      <x:c r="A2" s="526"/>
      <x:c r="B2" s="526"/>
      <x:c r="C2" s="526"/>
      <x:c r="D2" s="526"/>
      <x:c r="E2" s="526"/>
      <x:c r="F2" s="526"/>
      <x:c r="G2" s="526"/>
      <x:c r="H2" s="526"/>
    </x:row>
    <x:row r="3">
      <x:c r="A3" s="8" t="str">
        <x:v>青字＝入力、緑字＝自動計算。JIS C 8907:2005の考え方を参照した独自実装で、追加年次劣化は0%が初期値です。</x:v>
      </x:c>
      <x:c r="B3" s="8"/>
      <x:c r="C3" s="8"/>
      <x:c r="D3" s="8"/>
      <x:c r="E3" s="8"/>
      <x:c r="F3" s="8"/>
      <x:c r="G3" s="8"/>
      <x:c r="H3" s="8"/>
    </x:row>
    <x:row r="4">
      <x:c r="A4" s="527"/>
      <x:c r="B4" s="527"/>
      <x:c r="C4" s="527"/>
      <x:c r="D4" s="527"/>
      <x:c r="E4" s="527"/>
      <x:c r="F4" s="527"/>
      <x:c r="G4" s="527"/>
      <x:c r="H4" s="527"/>
    </x:row>
    <x:row r="5">
      <x:c r="A5" s="187" t="str">
        <x:v>経済条件</x:v>
      </x:c>
      <x:c r="B5" s="187"/>
      <x:c r="C5" s="187"/>
      <x:c r="D5" s="187"/>
      <x:c r="E5" s="187"/>
      <x:c r="F5" s="187"/>
      <x:c r="G5" s="187"/>
      <x:c r="H5" s="187"/>
    </x:row>
    <x:row r="6">
      <x:c r="A6" s="20" t="str">
        <x:v>電気購入単価</x:v>
      </x:c>
      <x:c r="B6" s="20"/>
      <x:c r="C6" s="20"/>
      <x:c r="D6" s="600" t="n">
        <x:v>35</x:v>
      </x:c>
      <x:c r="E6" s="601"/>
      <x:c r="F6" s="20" t="str">
        <x:v>請求単価の概算。料金プランごとの差は個別診断で確認</x:v>
      </x:c>
      <x:c r="G6" s="20"/>
      <x:c r="H6" s="20"/>
    </x:row>
    <x:row r="7">
      <x:c r="A7" s="20" t="str">
        <x:v>FIT初期単価</x:v>
      </x:c>
      <x:c r="B7" s="20"/>
      <x:c r="C7" s="20"/>
      <x:c r="D7" s="600" t="n">
        <x:v>24</x:v>
      </x:c>
      <x:c r="E7" s="601"/>
      <x:c r="F7" s="20" t="str">
        <x:v>2026年度10kW未満：1～4年の初期値</x:v>
      </x:c>
      <x:c r="G7" s="20"/>
      <x:c r="H7" s="20"/>
    </x:row>
    <x:row r="8">
      <x:c r="A8" s="20" t="str">
        <x:v>FIT初期期間</x:v>
      </x:c>
      <x:c r="B8" s="20"/>
      <x:c r="C8" s="20"/>
      <x:c r="D8" s="602" t="n">
        <x:v>4</x:v>
      </x:c>
      <x:c r="E8" s="601"/>
      <x:c r="F8" s="20" t="str">
        <x:v>年1～指定年までFIT初期単価</x:v>
      </x:c>
      <x:c r="G8" s="20"/>
      <x:c r="H8" s="20"/>
    </x:row>
    <x:row r="9">
      <x:c r="A9" s="20" t="str">
        <x:v>FIT後期単価</x:v>
      </x:c>
      <x:c r="B9" s="20"/>
      <x:c r="C9" s="20"/>
      <x:c r="D9" s="600" t="n">
        <x:v>8.3</x:v>
      </x:c>
      <x:c r="E9" s="601"/>
      <x:c r="F9" s="20" t="str">
        <x:v>2026年度10kW未満：5～10年の初期値</x:v>
      </x:c>
      <x:c r="G9" s="20"/>
      <x:c r="H9" s="20"/>
    </x:row>
    <x:row r="10">
      <x:c r="A10" s="20" t="str">
        <x:v>FIT合計期間</x:v>
      </x:c>
      <x:c r="B10" s="20"/>
      <x:c r="C10" s="20"/>
      <x:c r="D10" s="602" t="n">
        <x:v>10</x:v>
      </x:c>
      <x:c r="E10" s="601"/>
      <x:c r="F10" s="20" t="str">
        <x:v>初期期間の翌年～指定年までFIT後期単価</x:v>
      </x:c>
      <x:c r="G10" s="20"/>
      <x:c r="H10" s="20"/>
    </x:row>
    <x:row r="11">
      <x:c r="A11" s="20" t="str">
        <x:v>FIT終了後の売電単価</x:v>
      </x:c>
      <x:c r="B11" s="20"/>
      <x:c r="C11" s="20"/>
      <x:c r="D11" s="600" t="n">
        <x:v>8.3</x:v>
      </x:c>
      <x:c r="E11" s="601"/>
      <x:c r="F11" s="20" t="str">
        <x:v>契約先の卒FIT買取単価へ変更</x:v>
      </x:c>
      <x:c r="G11" s="20"/>
      <x:c r="H11" s="20"/>
    </x:row>
    <x:row r="12">
      <x:c r="A12" s="187" t="str">
        <x:v>需要・ライフサイクル条件</x:v>
      </x:c>
      <x:c r="B12" s="187"/>
      <x:c r="C12" s="187"/>
      <x:c r="D12" s="187"/>
      <x:c r="E12" s="187"/>
      <x:c r="F12" s="187"/>
      <x:c r="G12" s="187"/>
      <x:c r="H12" s="187"/>
    </x:row>
    <x:row r="13">
      <x:c r="A13" s="20" t="str">
        <x:v>自家消費率（在宅パターン連動）</x:v>
      </x:c>
      <x:c r="B13" s="20"/>
      <x:c r="C13" s="20"/>
      <x:c r="D13" s="234" t="n">
        <x:f>IF('3分入力'!$D$12="日中不在",30%,IF('3分入力'!$D$12="在宅中心",50%,40%))</x:f>
        <x:v>0.4</x:v>
      </x:c>
      <x:c r="E13" s="235"/>
      <x:c r="F13" s="20" t="str">
        <x:v>日中不在30%／一部在宅40%／在宅中心50%</x:v>
      </x:c>
      <x:c r="G13" s="20"/>
      <x:c r="H13" s="20"/>
    </x:row>
    <x:row r="14">
      <x:c r="A14" s="20" t="str">
        <x:v>自家消費率の上書き</x:v>
      </x:c>
      <x:c r="B14" s="20"/>
      <x:c r="C14" s="20"/>
      <x:c r="D14" s="603"/>
      <x:c r="E14" s="601"/>
      <x:c r="F14" s="20" t="str">
        <x:v>空欄なら自動値。時刻別負荷を使わない概算</x:v>
      </x:c>
      <x:c r="G14" s="20"/>
      <x:c r="H14" s="20"/>
    </x:row>
    <x:row r="15">
      <x:c r="A15" s="20" t="str">
        <x:v>計算に使う自家消費率</x:v>
      </x:c>
      <x:c r="B15" s="20"/>
      <x:c r="C15" s="20"/>
      <x:c r="D15" s="234" t="n">
        <x:f>MAX(0,MIN(IF(D14="",D13,D14),1))</x:f>
        <x:v>0.4</x:v>
      </x:c>
      <x:c r="E15" s="235"/>
      <x:c r="F15" s="20" t="str">
        <x:v>自動値または上書き値</x:v>
      </x:c>
      <x:c r="G15" s="20"/>
      <x:c r="H15" s="20"/>
    </x:row>
    <x:row r="16">
      <x:c r="A16" s="20" t="str">
        <x:v>追加年次劣化率</x:v>
      </x:c>
      <x:c r="B16" s="20"/>
      <x:c r="C16" s="20"/>
      <x:c r="D16" s="604" t="n">
        <x:v>0</x:v>
      </x:c>
      <x:c r="E16" s="601"/>
      <x:c r="F16" s="20" t="str">
        <x:v>KPD=0.95とは別に加える場合のみ入力</x:v>
      </x:c>
      <x:c r="G16" s="20"/>
      <x:c r="H16" s="20"/>
    </x:row>
    <x:row r="17">
      <x:c r="A17" s="20" t="str">
        <x:v>年間O&amp;M費</x:v>
      </x:c>
      <x:c r="B17" s="20"/>
      <x:c r="C17" s="20"/>
      <x:c r="D17" s="605" t="n">
        <x:v>0</x:v>
      </x:c>
      <x:c r="E17" s="601"/>
      <x:c r="F17" s="20" t="str">
        <x:v>毎年控除</x:v>
      </x:c>
      <x:c r="G17" s="20"/>
      <x:c r="H17" s="20"/>
    </x:row>
    <x:row r="18">
      <x:c r="A18" s="20" t="str">
        <x:v>PCS交換年</x:v>
      </x:c>
      <x:c r="B18" s="20"/>
      <x:c r="C18" s="20"/>
      <x:c r="D18" s="606" t="n">
        <x:v>12</x:v>
      </x:c>
      <x:c r="E18" s="601"/>
      <x:c r="F18" s="20" t="str">
        <x:v>指定年に1回だけ控除</x:v>
      </x:c>
      <x:c r="G18" s="20"/>
      <x:c r="H18" s="20"/>
    </x:row>
    <x:row r="19">
      <x:c r="A19" s="20" t="str">
        <x:v>PCS交換費</x:v>
      </x:c>
      <x:c r="B19" s="20"/>
      <x:c r="C19" s="20"/>
      <x:c r="D19" s="605" t="n">
        <x:v>250000</x:v>
      </x:c>
      <x:c r="E19" s="601"/>
      <x:c r="F19" s="20" t="str">
        <x:v>交換不要なら0円</x:v>
      </x:c>
      <x:c r="G19" s="20"/>
      <x:c r="H19" s="20"/>
    </x:row>
    <x:row r="20">
      <x:c r="A20" s="20" t="str">
        <x:v>追加環境係数</x:v>
      </x:c>
      <x:c r="B20" s="20"/>
      <x:c r="C20" s="20"/>
      <x:c r="D20" s="603" t="n">
        <x:v>1</x:v>
      </x:c>
      <x:c r="E20" s="601"/>
      <x:c r="F20" s="20" t="str">
        <x:v>影・汚れ・積雪など追加損失。初期値100%</x:v>
      </x:c>
      <x:c r="G20" s="20"/>
      <x:c r="H20" s="20"/>
    </x:row>
    <x:row r="21">
      <x:c r="A21" s="20" t="str">
        <x:v>電気単価上昇率</x:v>
      </x:c>
      <x:c r="B21" s="20"/>
      <x:c r="C21" s="20"/>
      <x:c r="D21" s="604" t="n">
        <x:v>0.01</x:v>
      </x:c>
      <x:c r="E21" s="601"/>
      <x:c r="F21" s="20" t="str">
        <x:v>年1は未適用。年2以降に複利。予測値ではない</x:v>
      </x:c>
      <x:c r="G21" s="20"/>
      <x:c r="H21" s="20"/>
    </x:row>
    <x:row r="22">
      <x:c r="A22" s="187" t="str">
        <x:v>発電量の公開初期係数｜JIS C 8907:2005の考え方を参照</x:v>
      </x:c>
      <x:c r="B22" s="187"/>
      <x:c r="C22" s="187"/>
      <x:c r="D22" s="187"/>
      <x:c r="E22" s="187"/>
      <x:c r="F22" s="187"/>
      <x:c r="G22" s="187"/>
      <x:c r="H22" s="187"/>
    </x:row>
    <x:row r="23">
      <x:c r="A23" s="20" t="str">
        <x:v>公開初期係数A</x:v>
      </x:c>
      <x:c r="B23" s="20"/>
      <x:c r="C23" s="20"/>
      <x:c r="D23" s="607" t="n">
        <x:v>0.97</x:v>
      </x:c>
      <x:c r="E23" s="601"/>
      <x:c r="F23" s="20" t="str">
        <x:v>本ツールの概算初期値。案件根拠があれば変更</x:v>
      </x:c>
      <x:c r="G23" s="20"/>
      <x:c r="H23" s="20"/>
    </x:row>
    <x:row r="24">
      <x:c r="A24" s="20" t="str">
        <x:v>公開初期係数B</x:v>
      </x:c>
      <x:c r="B24" s="20"/>
      <x:c r="C24" s="20"/>
      <x:c r="D24" s="607" t="n">
        <x:v>0.95</x:v>
      </x:c>
      <x:c r="E24" s="601"/>
      <x:c r="F24" s="20" t="str">
        <x:v>本ツールの概算初期値。追加劣化との重複に注意</x:v>
      </x:c>
      <x:c r="G24" s="20"/>
      <x:c r="H24" s="20"/>
    </x:row>
    <x:row r="25">
      <x:c r="A25" s="20" t="str">
        <x:v>公開初期係数C</x:v>
      </x:c>
      <x:c r="B25" s="20"/>
      <x:c r="C25" s="20"/>
      <x:c r="D25" s="607" t="n">
        <x:v>0.94</x:v>
      </x:c>
      <x:c r="E25" s="601"/>
      <x:c r="F25" s="20" t="str">
        <x:v>本ツールの概算初期値。蓄電池なし</x:v>
      </x:c>
      <x:c r="G25" s="20"/>
      <x:c r="H25" s="20"/>
    </x:row>
    <x:row r="26">
      <x:c r="A26" s="20" t="str">
        <x:v>公開初期係数D</x:v>
      </x:c>
      <x:c r="B26" s="20"/>
      <x:c r="C26" s="20"/>
      <x:c r="D26" s="607" t="n">
        <x:v>0.97</x:v>
      </x:c>
      <x:c r="E26" s="601"/>
      <x:c r="F26" s="20" t="str">
        <x:v>本ツールの概算初期値</x:v>
      </x:c>
      <x:c r="G26" s="20"/>
      <x:c r="H26" s="20"/>
    </x:row>
    <x:row r="27">
      <x:c r="A27" s="20" t="str">
        <x:v>インバータ実効効率</x:v>
      </x:c>
      <x:c r="B27" s="20"/>
      <x:c r="C27" s="20"/>
      <x:c r="D27" s="607" t="n">
        <x:v>0.9</x:v>
      </x:c>
      <x:c r="E27" s="601"/>
      <x:c r="F27" s="20" t="str">
        <x:v>本ツールの概算初期値。メーカー値があれば優先</x:v>
      </x:c>
      <x:c r="G27" s="20"/>
      <x:c r="H27" s="20"/>
    </x:row>
    <x:row r="28">
      <x:c r="A28" s="20" t="str">
        <x:v>αPmax：温度係数</x:v>
      </x:c>
      <x:c r="B28" s="20"/>
      <x:c r="C28" s="20"/>
      <x:c r="D28" s="608" t="n">
        <x:v>-0.45</x:v>
      </x:c>
      <x:c r="E28" s="601"/>
      <x:c r="F28" s="20" t="str">
        <x:v>結晶系の代表値。数値-0.45として/100で計算</x:v>
      </x:c>
      <x:c r="G28" s="20"/>
      <x:c r="H28" s="20"/>
    </x:row>
    <x:row r="29">
      <x:c r="A29" s="20" t="str">
        <x:v>モジュール温度上昇</x:v>
      </x:c>
      <x:c r="B29" s="20"/>
      <x:c r="C29" s="20"/>
      <x:c r="D29" s="609" t="n">
        <x:v>21.5</x:v>
      </x:c>
      <x:c r="E29" s="601"/>
      <x:c r="F29" s="20" t="str">
        <x:v>屋根置きの公開初期値</x:v>
      </x:c>
      <x:c r="G29" s="20"/>
      <x:c r="H29" s="20"/>
    </x:row>
    <x:row r="30">
      <x:c r="A30" s="20" t="str">
        <x:v>GS：標準日射強度</x:v>
      </x:c>
      <x:c r="B30" s="20"/>
      <x:c r="C30" s="20"/>
      <x:c r="D30" s="610" t="n">
        <x:v>1</x:v>
      </x:c>
      <x:c r="E30" s="601"/>
      <x:c r="F30" s="20" t="str">
        <x:v>固定値</x:v>
      </x:c>
      <x:c r="G30" s="20"/>
      <x:c r="H30" s="20"/>
    </x:row>
    <x:row r="31">
      <x:c r="A31" s="20" t="str">
        <x:v>設計係数（自動）</x:v>
      </x:c>
      <x:c r="B31" s="20"/>
      <x:c r="C31" s="20"/>
      <x:c r="D31" s="238" t="n">
        <x:f>D23*D24*D25*D26*D27</x:f>
        <x:v>0.7562013299999999</x:v>
      </x:c>
      <x:c r="E31" s="235"/>
      <x:c r="F31" s="20" t="str">
        <x:v>公開初期係数A～D×インバータ実効効率</x:v>
      </x:c>
      <x:c r="G31" s="20"/>
      <x:c r="H31" s="20"/>
    </x:row>
    <x:row r="32">
      <x:c r="A32" s="527"/>
      <x:c r="B32" s="527"/>
      <x:c r="C32" s="527"/>
      <x:c r="D32" s="527"/>
      <x:c r="E32" s="527"/>
      <x:c r="F32" s="527"/>
      <x:c r="G32" s="527"/>
      <x:c r="H32" s="527"/>
    </x:row>
    <x:row r="33">
      <x:c r="A33" s="527"/>
      <x:c r="B33" s="527"/>
      <x:c r="C33" s="527"/>
      <x:c r="D33" s="527"/>
      <x:c r="E33" s="527"/>
      <x:c r="F33" s="527"/>
      <x:c r="G33" s="527"/>
      <x:c r="H33" s="527"/>
    </x:row>
    <x:row r="34">
      <x:c r="A34" s="33" t="str">
        <x:v>凡例：青字＝入力／緑字＝自動。需要配分と同時消費可能上限率は全国共通の簡易仮定です。10kW以上はFIT単価・期間を必ず手動確認してください。KPD相当の係数Bと追加年次劣化を併用すると損失を二重計上する可能性があります。</x:v>
      </x:c>
      <x:c r="B34" s="34"/>
      <x:c r="C34" s="34"/>
      <x:c r="D34" s="34"/>
      <x:c r="E34" s="34"/>
      <x:c r="F34" s="34"/>
      <x:c r="G34" s="34"/>
      <x:c r="H34" s="35"/>
    </x:row>
    <x:row r="35">
      <x:c r="A35" s="36"/>
      <x:c r="B35" s="37"/>
      <x:c r="C35" s="37"/>
      <x:c r="D35" s="37"/>
      <x:c r="E35" s="37"/>
      <x:c r="F35" s="37"/>
      <x:c r="G35" s="37"/>
      <x:c r="H35" s="38"/>
    </x:row>
    <x:row r="36">
      <x:c r="A36" s="36"/>
      <x:c r="B36" s="37"/>
      <x:c r="C36" s="37"/>
      <x:c r="D36" s="37"/>
      <x:c r="E36" s="37"/>
      <x:c r="F36" s="37"/>
      <x:c r="G36" s="37"/>
      <x:c r="H36" s="38"/>
    </x:row>
    <x:row r="37">
      <x:c r="A37" s="39"/>
      <x:c r="B37" s="40"/>
      <x:c r="C37" s="40"/>
      <x:c r="D37" s="40"/>
      <x:c r="E37" s="40"/>
      <x:c r="F37" s="40"/>
      <x:c r="G37" s="40"/>
      <x:c r="H37" s="41"/>
    </x:row>
    <x:row r="38">
      <x:c r="A38" s="527"/>
      <x:c r="B38" s="527"/>
      <x:c r="C38" s="527"/>
      <x:c r="D38" s="527"/>
      <x:c r="E38" s="527"/>
      <x:c r="F38" s="527"/>
      <x:c r="G38" s="527"/>
      <x:c r="H38" s="527"/>
    </x:row>
  </x:sheetData>
  <x:sheetProtection sheet="1" objects="0" scenarios="1" formatCells="1" formatColumns="1" formatRows="1" insertColumns="1" insertRows="1" insertHyperlinks="1" deleteColumns="1" deleteRows="1" selectLockedCells="0" selectUnlockedCells="0"/>
  <x:mergeCells>
    <x:mergeCell ref="A1:H2"/>
    <x:mergeCell ref="A3:H3"/>
    <x:mergeCell ref="A5:H5"/>
    <x:mergeCell ref="A6:C6"/>
    <x:mergeCell ref="D6:E6"/>
    <x:mergeCell ref="F6:H6"/>
    <x:mergeCell ref="A7:C7"/>
    <x:mergeCell ref="D7:E7"/>
    <x:mergeCell ref="F7:H7"/>
    <x:mergeCell ref="A8:C8"/>
    <x:mergeCell ref="D8:E8"/>
    <x:mergeCell ref="F8:H8"/>
    <x:mergeCell ref="A9:C9"/>
    <x:mergeCell ref="D9:E9"/>
    <x:mergeCell ref="F9:H9"/>
    <x:mergeCell ref="A10:C10"/>
    <x:mergeCell ref="D10:E10"/>
    <x:mergeCell ref="F10:H10"/>
    <x:mergeCell ref="A11:C11"/>
    <x:mergeCell ref="D11:E11"/>
    <x:mergeCell ref="F11:H11"/>
    <x:mergeCell ref="A12:H12"/>
    <x:mergeCell ref="A13:C13"/>
    <x:mergeCell ref="D13:E13"/>
    <x:mergeCell ref="F13:H13"/>
    <x:mergeCell ref="A14:C14"/>
    <x:mergeCell ref="D14:E14"/>
    <x:mergeCell ref="F14:H14"/>
    <x:mergeCell ref="A15:C15"/>
    <x:mergeCell ref="D15:E15"/>
    <x:mergeCell ref="F15:H15"/>
    <x:mergeCell ref="A16:C16"/>
    <x:mergeCell ref="D16:E16"/>
    <x:mergeCell ref="F16:H16"/>
    <x:mergeCell ref="A17:C17"/>
    <x:mergeCell ref="D17:E17"/>
    <x:mergeCell ref="F17:H17"/>
    <x:mergeCell ref="A18:C18"/>
    <x:mergeCell ref="D18:E18"/>
    <x:mergeCell ref="F18:H18"/>
    <x:mergeCell ref="A19:C19"/>
    <x:mergeCell ref="D19:E19"/>
    <x:mergeCell ref="F19:H19"/>
    <x:mergeCell ref="A20:C20"/>
    <x:mergeCell ref="D20:E20"/>
    <x:mergeCell ref="F20:H20"/>
    <x:mergeCell ref="A21:C21"/>
    <x:mergeCell ref="D21:E21"/>
    <x:mergeCell ref="F21:H21"/>
    <x:mergeCell ref="A22:H22"/>
    <x:mergeCell ref="A23:C23"/>
    <x:mergeCell ref="D23:E23"/>
    <x:mergeCell ref="F23:H23"/>
    <x:mergeCell ref="A24:C24"/>
    <x:mergeCell ref="D24:E24"/>
    <x:mergeCell ref="F24:H24"/>
    <x:mergeCell ref="A25:C25"/>
    <x:mergeCell ref="D25:E25"/>
    <x:mergeCell ref="F25:H25"/>
    <x:mergeCell ref="A26:C26"/>
    <x:mergeCell ref="D26:E26"/>
    <x:mergeCell ref="F26:H26"/>
    <x:mergeCell ref="A27:C27"/>
    <x:mergeCell ref="D27:E27"/>
    <x:mergeCell ref="F27:H27"/>
    <x:mergeCell ref="A28:C28"/>
    <x:mergeCell ref="D28:E28"/>
    <x:mergeCell ref="F28:H28"/>
    <x:mergeCell ref="A29:C29"/>
    <x:mergeCell ref="D29:E29"/>
    <x:mergeCell ref="F29:H29"/>
    <x:mergeCell ref="A30:C30"/>
    <x:mergeCell ref="D30:E30"/>
    <x:mergeCell ref="F30:H30"/>
    <x:mergeCell ref="A31:C31"/>
    <x:mergeCell ref="D31:E31"/>
    <x:mergeCell ref="F31:H31"/>
    <x:mergeCell ref="A34:H37"/>
  </x:mergeCells>
  <x:dataValidations count="17">
    <x:dataValidation type="decimal" operator="between" sqref="D6" allowBlank="0" showErrorMessage="1" errorStyle="stop" errorTitle="入力値を確認してください" error="指定された範囲または候補から入力してください。">
      <x:formula1>0</x:formula1>
      <x:formula2>100</x:formula2>
    </x:dataValidation>
    <x:dataValidation type="decimal" operator="between" sqref="D7" allowBlank="0" showErrorMessage="1" errorStyle="stop" errorTitle="入力値を確認してください" error="指定された範囲または候補から入力してください。">
      <x:formula1>0</x:formula1>
      <x:formula2>100</x:formula2>
    </x:dataValidation>
    <x:dataValidation type="custom" sqref="D8" allowBlank="0" showErrorMessage="1" errorStyle="stop" errorTitle="FIT期間を確認してください" error="初期期間は0～合計期間の整数で入力してください。">
      <x:formula1>AND(ISNUMBER(D8),D8=INT(D8),D8&gt;=0,D8&lt;=D10)</x:formula1>
    </x:dataValidation>
    <x:dataValidation type="decimal" operator="between" sqref="D9" allowBlank="0" showErrorMessage="1" errorStyle="stop" errorTitle="入力値を確認してください" error="指定された範囲または候補から入力してください。">
      <x:formula1>0</x:formula1>
      <x:formula2>100</x:formula2>
    </x:dataValidation>
    <x:dataValidation type="custom" sqref="D10" allowBlank="0" showErrorMessage="1" errorStyle="stop" errorTitle="FIT期間を確認してください" error="合計期間は初期期間以上20年以下の整数で入力してください。">
      <x:formula1>AND(ISNUMBER(D10),D10=INT(D10),D10&gt;=D8,D10&lt;=20)</x:formula1>
    </x:dataValidation>
    <x:dataValidation type="decimal" operator="between" sqref="D11" allowBlank="0" showErrorMessage="1" errorStyle="stop" errorTitle="入力値を確認してください" error="指定された範囲または候補から入力してください。">
      <x:formula1>0</x:formula1>
      <x:formula2>100</x:formula2>
    </x:dataValidation>
    <x:dataValidation type="decimal" operator="between" sqref="D14" allowBlank="1" showErrorMessage="1" errorStyle="stop" errorTitle="入力値を確認してください" error="指定された範囲または候補から入力してください。">
      <x:formula1>0</x:formula1>
      <x:formula2>1</x:formula2>
    </x:dataValidation>
    <x:dataValidation type="decimal" operator="between" sqref="D16" allowBlank="0" showErrorMessage="1" errorStyle="stop" errorTitle="入力値を確認してください" error="指定された範囲または候補から入力してください。">
      <x:formula1>0</x:formula1>
      <x:formula2>0.05</x:formula2>
    </x:dataValidation>
    <x:dataValidation type="whole" operator="between" sqref="D17" allowBlank="0" showErrorMessage="1" errorStyle="stop" errorTitle="入力値を確認してください" error="指定された範囲または候補から入力してください。">
      <x:formula1>0</x:formula1>
      <x:formula2>5000000</x:formula2>
    </x:dataValidation>
    <x:dataValidation type="whole" operator="between" sqref="D18" allowBlank="0" showErrorMessage="1" errorStyle="stop" errorTitle="入力値を確認してください" error="指定された範囲または候補から入力してください。">
      <x:formula1>0</x:formula1>
      <x:formula2>20</x:formula2>
    </x:dataValidation>
    <x:dataValidation type="whole" operator="between" sqref="D19" allowBlank="0" showErrorMessage="1" errorStyle="stop" errorTitle="入力値を確認してください" error="指定された範囲または候補から入力してください。">
      <x:formula1>0</x:formula1>
      <x:formula2>5000000</x:formula2>
    </x:dataValidation>
    <x:dataValidation type="decimal" operator="between" sqref="D20" allowBlank="0" showErrorMessage="1" errorStyle="stop" errorTitle="入力値を確認してください" error="指定された範囲または候補から入力してください。">
      <x:formula1>0</x:formula1>
      <x:formula2>1</x:formula2>
    </x:dataValidation>
    <x:dataValidation type="decimal" operator="between" sqref="D21" allowBlank="0" showErrorMessage="1" errorStyle="stop" errorTitle="入力値を確認してください" error="指定された範囲または候補から入力してください。">
      <x:formula1>-0.05</x:formula1>
      <x:formula2>0.1</x:formula2>
    </x:dataValidation>
    <x:dataValidation type="decimal" operator="between" sqref="D23:D27" allowBlank="0" showErrorMessage="1" errorStyle="stop" errorTitle="入力値を確認してください" error="指定された範囲または候補から入力してください。">
      <x:formula1>0</x:formula1>
      <x:formula2>1</x:formula2>
    </x:dataValidation>
    <x:dataValidation type="decimal" operator="between" sqref="D28" allowBlank="0" showErrorMessage="1" errorStyle="stop" errorTitle="入力値を確認してください" error="指定された範囲または候補から入力してください。">
      <x:formula1>-5</x:formula1>
      <x:formula2>0</x:formula2>
    </x:dataValidation>
    <x:dataValidation type="decimal" operator="between" sqref="D29" allowBlank="0" showErrorMessage="1" errorStyle="stop" errorTitle="入力値を確認してください" error="指定された範囲または候補から入力してください。">
      <x:formula1>0</x:formula1>
      <x:formula2>80</x:formula2>
    </x:dataValidation>
    <x:dataValidation type="decimal" operator="between" sqref="D30" allowBlank="0" showErrorMessage="1" errorStyle="stop" errorTitle="入力値を確認してください" error="指定された範囲または候補から入力してください。">
      <x:formula1>0.1</x:formula1>
      <x:formula2>2</x:formula2>
    </x:dataValidation>
  </x:dataValidations>
  <x:pageMargins left="0.25" right="0.25" top="0.4" bottom="0.4" header="0.2" footer="0.2"/>
  <x:pageSetup paperSize="9" orientation="landscape" fitToWidth="1" fitToHeight="1"/>
</x:worksheet>
</file>

<file path=xl/worksheets/sheet6.xml><?xml version="1.0" encoding="utf-8"?>
<x:worksheet xmlns:r="http://schemas.openxmlformats.org/officeDocument/2006/relationships" xmlns:x="http://schemas.openxmlformats.org/spreadsheetml/2006/main">
  <x:sheetPr>
    <x:pageSetUpPr fitToPage="1"/>
  </x:sheetPr>
  <x:sheetViews>
    <x:sheetView showGridLines="0" workbookViewId="0">
      <x:pane ySplit="7" topLeftCell="A8" activePane="bottomLeft" state="frozen"/>
    </x:sheetView>
  </x:sheetViews>
  <x:sheetFormatPr defaultRowHeight="15"/>
  <x:cols>
    <x:col min="1" max="1" width="18" hidden="0" customWidth="1"/>
    <x:col min="2" max="2" width="1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x:c r="A1" s="526" t="str">
        <x:v>METPV-20等｜月別データ入力（任意）</x:v>
      </x:c>
      <x:c r="B1" s="526"/>
      <x:c r="C1" s="526"/>
      <x:c r="D1" s="526"/>
      <x:c r="E1" s="526"/>
      <x:c r="F1" s="526"/>
      <x:c r="G1" s="526"/>
      <x:c r="H1" s="526"/>
    </x:row>
    <x:row r="2">
      <x:c r="A2" s="526"/>
      <x:c r="B2" s="526"/>
      <x:c r="C2" s="526"/>
      <x:c r="D2" s="526"/>
      <x:c r="E2" s="526"/>
      <x:c r="F2" s="526"/>
      <x:c r="G2" s="526"/>
      <x:c r="H2" s="526"/>
    </x:row>
    <x:row r="3">
      <x:c r="A3" s="8" t="str">
        <x:v>NEDOの数値・地点表は本ファイルに収録していません。利用者が利用条件を確認して取得・集計した月別値をローカル入力するための互換欄です。</x:v>
      </x:c>
      <x:c r="B3" s="8"/>
      <x:c r="C3" s="8"/>
      <x:c r="D3" s="8"/>
      <x:c r="E3" s="8"/>
      <x:c r="F3" s="8"/>
      <x:c r="G3" s="8"/>
      <x:c r="H3" s="8"/>
    </x:row>
    <x:row r="4">
      <x:c r="A4" s="527"/>
      <x:c r="B4" s="527"/>
      <x:c r="C4" s="527"/>
      <x:c r="D4" s="527"/>
      <x:c r="E4" s="527"/>
      <x:c r="F4" s="527"/>
      <x:c r="G4" s="527"/>
      <x:c r="H4" s="527"/>
    </x:row>
    <x:row r="5">
      <x:c r="A5" s="52" t="str">
        <x:v>使うときは「3分入力」の日射データを「METPV-20等の入力」に変更し、青字24セルを入力してください。入力済みファイルを第三者へ再配布する前に、元データの利用条件を確認してください。</x:v>
      </x:c>
      <x:c r="B5" s="53"/>
      <x:c r="C5" s="53"/>
      <x:c r="D5" s="53"/>
      <x:c r="E5" s="53"/>
      <x:c r="F5" s="53"/>
      <x:c r="G5" s="53"/>
      <x:c r="H5" s="54"/>
    </x:row>
    <x:row r="6">
      <x:c r="A6" s="527"/>
      <x:c r="B6" s="527"/>
      <x:c r="C6" s="527"/>
      <x:c r="D6" s="527"/>
      <x:c r="E6" s="527"/>
      <x:c r="F6" s="527"/>
      <x:c r="G6" s="527"/>
      <x:c r="H6" s="527"/>
    </x:row>
    <x:row r="7">
      <x:c r="A7" s="13" t="str">
        <x:v>月</x:v>
      </x:c>
      <x:c r="B7" s="13" t="str">
        <x:v>傾斜面日射量 kWh/m²/月</x:v>
      </x:c>
      <x:c r="C7" s="13" t="str">
        <x:v>月平均外気温 ℃</x:v>
      </x:c>
      <x:c r="D7" s="527"/>
      <x:c r="E7" s="528" t="str">
        <x:v>入力状態</x:v>
      </x:c>
      <x:c r="F7" s="528"/>
      <x:c r="G7" s="528"/>
      <x:c r="H7" s="528"/>
    </x:row>
    <x:row r="8">
      <x:c r="A8" s="20" t="n">
        <x:v>1</x:v>
      </x:c>
      <x:c r="B8" s="607"/>
      <x:c r="C8" s="611"/>
      <x:c r="D8" s="527"/>
      <x:c r="E8" s="527"/>
      <x:c r="F8" s="527"/>
      <x:c r="G8" s="527"/>
      <x:c r="H8" s="527"/>
    </x:row>
    <x:row r="9">
      <x:c r="A9" s="20" t="n">
        <x:v>2</x:v>
      </x:c>
      <x:c r="B9" s="607"/>
      <x:c r="C9" s="611"/>
      <x:c r="D9" s="527"/>
      <x:c r="E9" s="20" t="str">
        <x:v>日射量</x:v>
      </x:c>
      <x:c r="F9" s="20"/>
      <x:c r="G9" s="20" t="n">
        <x:f>COUNT(B8:B19)</x:f>
        <x:v>0</x:v>
      </x:c>
      <x:c r="H9" s="20"/>
    </x:row>
    <x:row r="10">
      <x:c r="A10" s="20" t="n">
        <x:v>3</x:v>
      </x:c>
      <x:c r="B10" s="607"/>
      <x:c r="C10" s="611"/>
      <x:c r="D10" s="527"/>
      <x:c r="E10" s="20"/>
      <x:c r="F10" s="20"/>
      <x:c r="G10" s="20"/>
      <x:c r="H10" s="20"/>
    </x:row>
    <x:row r="11">
      <x:c r="A11" s="20" t="n">
        <x:v>4</x:v>
      </x:c>
      <x:c r="B11" s="607"/>
      <x:c r="C11" s="611"/>
      <x:c r="D11" s="527"/>
      <x:c r="E11" s="20" t="str">
        <x:v>気温</x:v>
      </x:c>
      <x:c r="F11" s="20"/>
      <x:c r="G11" s="20" t="n">
        <x:f>COUNT(C8:C19)</x:f>
        <x:v>0</x:v>
      </x:c>
      <x:c r="H11" s="20"/>
    </x:row>
    <x:row r="12">
      <x:c r="A12" s="20" t="n">
        <x:v>5</x:v>
      </x:c>
      <x:c r="B12" s="607"/>
      <x:c r="C12" s="611"/>
      <x:c r="D12" s="527"/>
      <x:c r="E12" s="20"/>
      <x:c r="F12" s="20"/>
      <x:c r="G12" s="20"/>
      <x:c r="H12" s="20"/>
    </x:row>
    <x:row r="13">
      <x:c r="A13" s="20" t="n">
        <x:v>6</x:v>
      </x:c>
      <x:c r="B13" s="607"/>
      <x:c r="C13" s="611"/>
      <x:c r="D13" s="527"/>
      <x:c r="E13" s="20" t="str">
        <x:v>総合</x:v>
      </x:c>
      <x:c r="F13" s="20"/>
      <x:c r="G13" s="575" t="str">
        <x:f>IF(AND(COUNT(B8:B19)=12,COUNT(C8:C19)=12,MIN(B8:B19)&gt;=0,MAX(B8:B19)&lt;=500,MIN(C8:C19)&gt;=-50,MAX(C8:C19)&lt;=60),"PASS","入力待ち / 範囲外")</x:f>
        <x:v>入力待ち / 範囲外</x:v>
      </x:c>
      <x:c r="H13" s="575"/>
    </x:row>
    <x:row r="14">
      <x:c r="A14" s="20" t="n">
        <x:v>7</x:v>
      </x:c>
      <x:c r="B14" s="607"/>
      <x:c r="C14" s="611"/>
      <x:c r="D14" s="527"/>
      <x:c r="E14" s="527"/>
      <x:c r="F14" s="527"/>
      <x:c r="G14" s="527"/>
      <x:c r="H14" s="527"/>
    </x:row>
    <x:row r="15">
      <x:c r="A15" s="20" t="n">
        <x:v>8</x:v>
      </x:c>
      <x:c r="B15" s="607"/>
      <x:c r="C15" s="611"/>
      <x:c r="D15" s="527"/>
      <x:c r="E15" s="527"/>
      <x:c r="F15" s="527"/>
      <x:c r="G15" s="527"/>
      <x:c r="H15" s="527"/>
    </x:row>
    <x:row r="16">
      <x:c r="A16" s="20" t="n">
        <x:v>9</x:v>
      </x:c>
      <x:c r="B16" s="607"/>
      <x:c r="C16" s="611"/>
      <x:c r="D16" s="527"/>
      <x:c r="E16" s="527"/>
      <x:c r="F16" s="527"/>
      <x:c r="G16" s="527"/>
      <x:c r="H16" s="527"/>
    </x:row>
    <x:row r="17">
      <x:c r="A17" s="20" t="n">
        <x:v>10</x:v>
      </x:c>
      <x:c r="B17" s="607"/>
      <x:c r="C17" s="611"/>
      <x:c r="D17" s="527"/>
      <x:c r="E17" s="527"/>
      <x:c r="F17" s="527"/>
      <x:c r="G17" s="527"/>
      <x:c r="H17" s="527"/>
    </x:row>
    <x:row r="18">
      <x:c r="A18" s="20" t="n">
        <x:v>11</x:v>
      </x:c>
      <x:c r="B18" s="607"/>
      <x:c r="C18" s="611"/>
      <x:c r="D18" s="527"/>
      <x:c r="E18" s="527"/>
      <x:c r="F18" s="527"/>
      <x:c r="G18" s="527"/>
      <x:c r="H18" s="527"/>
    </x:row>
    <x:row r="19">
      <x:c r="A19" s="20" t="n">
        <x:v>12</x:v>
      </x:c>
      <x:c r="B19" s="607"/>
      <x:c r="C19" s="611"/>
      <x:c r="D19" s="527"/>
      <x:c r="E19" s="527"/>
      <x:c r="F19" s="527"/>
      <x:c r="G19" s="527"/>
      <x:c r="H19" s="527"/>
    </x:row>
    <x:row r="20">
      <x:c r="A20" s="527"/>
      <x:c r="B20" s="527"/>
      <x:c r="C20" s="527"/>
      <x:c r="D20" s="527"/>
      <x:c r="E20" s="527"/>
      <x:c r="F20" s="527"/>
      <x:c r="G20" s="527"/>
      <x:c r="H20" s="527"/>
    </x:row>
    <x:row r="21">
      <x:c r="A21" s="527"/>
      <x:c r="B21" s="527"/>
      <x:c r="C21" s="527"/>
      <x:c r="D21" s="527"/>
      <x:c r="E21" s="527"/>
      <x:c r="F21" s="527"/>
      <x:c r="G21" s="527"/>
      <x:c r="H21" s="527"/>
    </x:row>
    <x:row r="22">
      <x:c r="A22" s="187" t="str">
        <x:v>任意メタデータ</x:v>
      </x:c>
      <x:c r="B22" s="187"/>
      <x:c r="C22" s="187"/>
      <x:c r="D22" s="187"/>
      <x:c r="E22" s="187"/>
      <x:c r="F22" s="187"/>
      <x:c r="G22" s="187"/>
      <x:c r="H22" s="187"/>
    </x:row>
    <x:row r="23">
      <x:c r="A23" s="527"/>
      <x:c r="B23" s="527"/>
      <x:c r="C23" s="527"/>
      <x:c r="D23" s="527"/>
      <x:c r="E23" s="527"/>
      <x:c r="F23" s="527"/>
      <x:c r="G23" s="527"/>
      <x:c r="H23" s="527"/>
    </x:row>
    <x:row r="24">
      <x:c r="A24" s="527" t="str">
        <x:v>地点名・メモ</x:v>
      </x:c>
      <x:c r="B24" s="527"/>
      <x:c r="C24" s="612"/>
      <x:c r="D24" s="612"/>
      <x:c r="E24" s="612"/>
      <x:c r="F24" s="612"/>
      <x:c r="G24" s="612"/>
      <x:c r="H24" s="612"/>
    </x:row>
    <x:row r="25">
      <x:c r="A25" s="527"/>
      <x:c r="B25" s="527"/>
      <x:c r="C25" s="527"/>
      <x:c r="D25" s="527"/>
      <x:c r="E25" s="527"/>
      <x:c r="F25" s="527"/>
      <x:c r="G25" s="527"/>
      <x:c r="H25" s="527"/>
    </x:row>
    <x:row r="26">
      <x:c r="A26" s="527" t="str">
        <x:v>取得日</x:v>
      </x:c>
      <x:c r="B26" s="527"/>
      <x:c r="C26" s="612"/>
      <x:c r="D26" s="612"/>
      <x:c r="E26" s="527"/>
      <x:c r="F26" s="527"/>
      <x:c r="G26" s="527"/>
      <x:c r="H26" s="527"/>
    </x:row>
    <x:row r="27">
      <x:c r="A27" s="527"/>
      <x:c r="B27" s="527"/>
      <x:c r="C27" s="527"/>
      <x:c r="D27" s="527"/>
      <x:c r="E27" s="527"/>
      <x:c r="F27" s="527"/>
      <x:c r="G27" s="527"/>
      <x:c r="H27" s="527"/>
    </x:row>
    <x:row r="28">
      <x:c r="A28" s="527" t="str">
        <x:v>元データURL</x:v>
      </x:c>
      <x:c r="B28" s="527"/>
      <x:c r="C28" s="612" t="str"/>
      <x:c r="D28" s="612"/>
      <x:c r="E28" s="612"/>
      <x:c r="F28" s="612"/>
      <x:c r="G28" s="612"/>
      <x:c r="H28" s="612"/>
    </x:row>
    <x:row r="29">
      <x:c r="A29" s="527"/>
      <x:c r="B29" s="527"/>
      <x:c r="C29" s="527"/>
      <x:c r="D29" s="527"/>
      <x:c r="E29" s="527"/>
      <x:c r="F29" s="527"/>
      <x:c r="G29" s="527"/>
      <x:c r="H29" s="527"/>
    </x:row>
    <x:row r="30">
      <x:c r="A30" s="576" t="str">
        <x:v>参考：NEDO 日射量データベース →</x:v>
      </x:c>
      <x:c r="B30" s="577"/>
      <x:c r="C30" s="577"/>
      <x:c r="D30" s="577"/>
      <x:c r="E30" s="577"/>
      <x:c r="F30" s="577"/>
      <x:c r="G30" s="577"/>
      <x:c r="H30" s="578"/>
    </x:row>
  </x:sheetData>
  <x:sheetProtection sheet="1" objects="0" scenarios="1" formatCells="1" formatColumns="1" formatRows="1" insertColumns="1" insertRows="1" insertHyperlinks="1" deleteColumns="1" deleteRows="1" selectLockedCells="0" selectUnlockedCells="0"/>
  <x:mergeCells>
    <x:mergeCell ref="A1:H2"/>
    <x:mergeCell ref="A3:H3"/>
    <x:mergeCell ref="A5:H5"/>
    <x:mergeCell ref="E7:H7"/>
    <x:mergeCell ref="G9:H9"/>
    <x:mergeCell ref="G11:H11"/>
    <x:mergeCell ref="E13:F13"/>
    <x:mergeCell ref="G13:H13"/>
    <x:mergeCell ref="A22:H22"/>
    <x:mergeCell ref="A24:B24"/>
    <x:mergeCell ref="C24:H24"/>
    <x:mergeCell ref="A26:B26"/>
    <x:mergeCell ref="C26:D26"/>
    <x:mergeCell ref="A28:B28"/>
    <x:mergeCell ref="C28:H28"/>
    <x:mergeCell ref="A30:H30"/>
  </x:mergeCells>
  <x:dataValidations count="2">
    <x:dataValidation type="decimal" operator="between" sqref="B8:B19" allowBlank="1" showErrorMessage="1" errorStyle="stop" errorTitle="入力値を確認してください" error="指定された範囲または候補から入力してください。">
      <x:formula1>0</x:formula1>
      <x:formula2>500</x:formula2>
    </x:dataValidation>
    <x:dataValidation type="decimal" operator="between" sqref="C8:C19" allowBlank="1" showErrorMessage="1" errorStyle="stop" errorTitle="入力値を確認してください" error="指定された範囲または候補から入力してください。">
      <x:formula1>-50</x:formula1>
      <x:formula2>60</x:formula2>
    </x:dataValidation>
  </x:dataValidations>
  <x:hyperlinks>
    <x:hyperlink ref="A30:H30" r:id="rIdEnegaeru1" display="NEDO 日射量データベース"/>
  </x:hyperlinks>
  <x:pageMargins left="0.25" right="0.25" top="0.4" bottom="0.4" header="0.2" footer="0.2"/>
  <x:pageSetup paperSize="9" orientation="landscape" fitToWidth="1" fitToHeight="1"/>
</x:worksheet>
</file>

<file path=xl/worksheets/sheet7.xml><?xml version="1.0" encoding="utf-8"?>
<x:worksheet xmlns:r="http://schemas.openxmlformats.org/officeDocument/2006/relationships" xmlns:x="http://schemas.openxmlformats.org/spreadsheetml/2006/main">
  <x:sheetPr>
    <x:pageSetUpPr fitToPage="1"/>
  </x:sheetPr>
  <x:sheetViews>
    <x:sheetView showGridLines="0" workbookViewId="0">
      <x:pane ySplit="3" topLeftCell="A4" activePane="bottomLeft" state="frozen"/>
    </x:sheetView>
  </x:sheetViews>
  <x:sheetFormatPr defaultRowHeight="15"/>
  <x:cols>
    <x:col min="1" max="1" width="16" hidden="0" customWidth="1"/>
    <x:col min="2" max="2" width="16" hidden="0" customWidth="1"/>
    <x:col min="3" max="3" width="16"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s>
  <x:sheetData>
    <x:row r="1">
      <x:c r="A1" s="526" t="str">
        <x:v>計算方法・出典・適用範囲</x:v>
      </x:c>
      <x:c r="B1" s="526"/>
      <x:c r="C1" s="526"/>
      <x:c r="D1" s="526"/>
      <x:c r="E1" s="526"/>
      <x:c r="F1" s="526"/>
      <x:c r="G1" s="526"/>
      <x:c r="H1" s="526"/>
      <x:c r="I1" s="526"/>
      <x:c r="J1" s="526"/>
      <x:c r="K1" s="526"/>
      <x:c r="L1" s="526"/>
    </x:row>
    <x:row r="2">
      <x:c r="A2" s="526"/>
      <x:c r="B2" s="526"/>
      <x:c r="C2" s="526"/>
      <x:c r="D2" s="526"/>
      <x:c r="E2" s="526"/>
      <x:c r="F2" s="526"/>
      <x:c r="G2" s="526"/>
      <x:c r="H2" s="526"/>
      <x:c r="I2" s="526"/>
      <x:c r="J2" s="526"/>
      <x:c r="K2" s="526"/>
      <x:c r="L2" s="526"/>
    </x:row>
    <x:row r="3">
      <x:c r="A3" s="8" t="str">
        <x:v>JIS C 8907:2005の年間発電電力量推定の考え方を参照した独自の参考試算。JIS完全準拠・認証・公認とは表示しません。</x:v>
      </x:c>
      <x:c r="B3" s="8"/>
      <x:c r="C3" s="8"/>
      <x:c r="D3" s="8"/>
      <x:c r="E3" s="8"/>
      <x:c r="F3" s="8"/>
      <x:c r="G3" s="8"/>
      <x:c r="H3" s="8"/>
      <x:c r="I3" s="8"/>
      <x:c r="J3" s="8"/>
      <x:c r="K3" s="8"/>
      <x:c r="L3" s="8"/>
    </x:row>
    <x:row r="4">
      <x:c r="A4" s="527"/>
      <x:c r="B4" s="527"/>
      <x:c r="C4" s="527"/>
      <x:c r="D4" s="527"/>
      <x:c r="E4" s="527"/>
      <x:c r="F4" s="527"/>
      <x:c r="G4" s="527"/>
      <x:c r="H4" s="527"/>
      <x:c r="I4" s="527"/>
      <x:c r="J4" s="527"/>
      <x:c r="K4" s="527"/>
      <x:c r="L4" s="527"/>
    </x:row>
    <x:row r="5">
      <x:c r="A5" s="187" t="str">
        <x:v>1｜月次発電量</x:v>
      </x:c>
      <x:c r="B5" s="187"/>
      <x:c r="C5" s="187"/>
      <x:c r="D5" s="187"/>
      <x:c r="E5" s="187"/>
      <x:c r="F5" s="187"/>
      <x:c r="G5" s="187"/>
      <x:c r="H5" s="187"/>
      <x:c r="I5" s="187"/>
      <x:c r="J5" s="187"/>
      <x:c r="K5" s="187"/>
      <x:c r="L5" s="187"/>
    </x:row>
    <x:row r="6">
      <x:c r="A6" s="527"/>
      <x:c r="B6" s="527"/>
      <x:c r="C6" s="527"/>
      <x:c r="D6" s="527"/>
      <x:c r="E6" s="527"/>
      <x:c r="F6" s="527"/>
      <x:c r="G6" s="527"/>
      <x:c r="H6" s="527"/>
      <x:c r="I6" s="527"/>
      <x:c r="J6" s="527"/>
      <x:c r="K6" s="527"/>
      <x:c r="L6" s="527"/>
    </x:row>
    <x:row r="7">
      <x:c r="A7" s="516" t="str">
        <x:v>入力：月積算の傾斜面日射量、月平均外気温、太陽光容量。月積算値へ日数を再度掛けません。</x:v>
      </x:c>
      <x:c r="B7" s="527"/>
      <x:c r="C7" s="527"/>
      <x:c r="D7" s="527"/>
      <x:c r="E7" s="527"/>
      <x:c r="F7" s="527"/>
      <x:c r="G7" s="527"/>
      <x:c r="H7" s="527"/>
      <x:c r="I7" s="527"/>
      <x:c r="J7" s="527"/>
      <x:c r="K7" s="527"/>
      <x:c r="L7" s="527"/>
    </x:row>
    <x:row r="8">
      <x:c r="A8" s="515" t="str">
        <x:v>温度：外気温と公開初期の温度上昇・温度係数から月別温度補正を計算します。</x:v>
      </x:c>
      <x:c r="B8" s="527"/>
      <x:c r="C8" s="527"/>
      <x:c r="D8" s="527"/>
      <x:c r="E8" s="527"/>
      <x:c r="F8" s="527"/>
      <x:c r="G8" s="527"/>
      <x:c r="H8" s="527"/>
      <x:c r="I8" s="527"/>
      <x:c r="J8" s="527"/>
      <x:c r="K8" s="527"/>
      <x:c r="L8" s="527"/>
    </x:row>
    <x:row r="9">
      <x:c r="A9" s="516" t="str">
        <x:v>損失：公開初期係数A～D、インバータ実効効率、追加環境係数を掛け合わせます。</x:v>
      </x:c>
      <x:c r="B9" s="527"/>
      <x:c r="C9" s="527"/>
      <x:c r="D9" s="527"/>
      <x:c r="E9" s="527"/>
      <x:c r="F9" s="527"/>
      <x:c r="G9" s="527"/>
      <x:c r="H9" s="527"/>
      <x:c r="I9" s="527"/>
      <x:c r="J9" s="527"/>
      <x:c r="K9" s="527"/>
      <x:c r="L9" s="527"/>
    </x:row>
    <x:row r="10">
      <x:c r="A10" s="515" t="str">
        <x:v>発電：月別日射量、容量、温度補正、損失係数から独自セル式で月別発電量を計算します。</x:v>
      </x:c>
      <x:c r="B10" s="527"/>
      <x:c r="C10" s="527"/>
      <x:c r="D10" s="527"/>
      <x:c r="E10" s="527"/>
      <x:c r="F10" s="527"/>
      <x:c r="G10" s="527"/>
      <x:c r="H10" s="527"/>
      <x:c r="I10" s="527"/>
      <x:c r="J10" s="527"/>
      <x:c r="K10" s="527"/>
      <x:c r="L10" s="527"/>
    </x:row>
    <x:row r="11">
      <x:c r="A11" s="516" t="str">
        <x:v>20年：追加年次劣化を各年・各月へ適用し、20年×12か月を再計算します。</x:v>
      </x:c>
      <x:c r="B11" s="527"/>
      <x:c r="C11" s="527"/>
      <x:c r="D11" s="527"/>
      <x:c r="E11" s="527"/>
      <x:c r="F11" s="527"/>
      <x:c r="G11" s="527"/>
      <x:c r="H11" s="527"/>
      <x:c r="I11" s="527"/>
      <x:c r="J11" s="527"/>
      <x:c r="K11" s="527"/>
      <x:c r="L11" s="527"/>
    </x:row>
    <x:row r="12">
      <x:c r="A12" s="515" t="str">
        <x:v>比較：慎重・標準・上振れも同じ月次計算を使い、標準と本体の差をQAします。</x:v>
      </x:c>
      <x:c r="B12" s="527"/>
      <x:c r="C12" s="527"/>
      <x:c r="D12" s="527"/>
      <x:c r="E12" s="527"/>
      <x:c r="F12" s="527"/>
      <x:c r="G12" s="527"/>
      <x:c r="H12" s="527"/>
      <x:c r="I12" s="527"/>
      <x:c r="J12" s="527"/>
      <x:c r="K12" s="527"/>
      <x:c r="L12" s="527"/>
    </x:row>
    <x:row r="13">
      <x:c r="A13" s="516" t="str">
        <x:v>規格本文・表・図・説明文は収録せず、規格番号と参照関係だけを表示します。</x:v>
      </x:c>
      <x:c r="B13" s="527"/>
      <x:c r="C13" s="527"/>
      <x:c r="D13" s="527"/>
      <x:c r="E13" s="527"/>
      <x:c r="F13" s="527"/>
      <x:c r="G13" s="527"/>
      <x:c r="H13" s="527"/>
      <x:c r="I13" s="527"/>
      <x:c r="J13" s="527"/>
      <x:c r="K13" s="527"/>
      <x:c r="L13" s="527"/>
    </x:row>
    <x:row r="14">
      <x:c r="A14" s="527"/>
      <x:c r="B14" s="527"/>
      <x:c r="C14" s="527"/>
      <x:c r="D14" s="527"/>
      <x:c r="E14" s="527"/>
      <x:c r="F14" s="527"/>
      <x:c r="G14" s="527"/>
      <x:c r="H14" s="527"/>
      <x:c r="I14" s="527"/>
      <x:c r="J14" s="527"/>
      <x:c r="K14" s="527"/>
      <x:c r="L14" s="527"/>
    </x:row>
    <x:row r="15">
      <x:c r="A15" s="187" t="str">
        <x:v>2｜経済効果</x:v>
      </x:c>
      <x:c r="B15" s="187"/>
      <x:c r="C15" s="187"/>
      <x:c r="D15" s="187"/>
      <x:c r="E15" s="187"/>
      <x:c r="F15" s="187"/>
      <x:c r="G15" s="187"/>
      <x:c r="H15" s="187"/>
      <x:c r="I15" s="187"/>
      <x:c r="J15" s="187"/>
      <x:c r="K15" s="187"/>
      <x:c r="L15" s="187"/>
    </x:row>
    <x:row r="16">
      <x:c r="A16" s="527"/>
      <x:c r="B16" s="527"/>
      <x:c r="C16" s="527"/>
      <x:c r="D16" s="527"/>
      <x:c r="E16" s="527"/>
      <x:c r="F16" s="527"/>
      <x:c r="G16" s="527"/>
      <x:c r="H16" s="527"/>
      <x:c r="I16" s="527"/>
      <x:c r="J16" s="527"/>
      <x:c r="K16" s="527"/>
      <x:c r="L16" s="527"/>
    </x:row>
    <x:row r="17">
      <x:c r="A17" s="516" t="str">
        <x:v>月次自家消費量 = MIN（月次発電量 × 同時消費可能上限率, 月次需要）</x:v>
      </x:c>
      <x:c r="B17" s="527"/>
      <x:c r="C17" s="527"/>
      <x:c r="D17" s="527"/>
      <x:c r="E17" s="527"/>
      <x:c r="F17" s="527"/>
      <x:c r="G17" s="527"/>
      <x:c r="H17" s="527"/>
      <x:c r="I17" s="527"/>
      <x:c r="J17" s="527"/>
      <x:c r="K17" s="527"/>
      <x:c r="L17" s="527"/>
    </x:row>
    <x:row r="18">
      <x:c r="A18" s="515" t="str">
        <x:v>月次売電量 = MAX（月次発電量 − 月次自家消費量, 0）</x:v>
      </x:c>
      <x:c r="B18" s="527"/>
      <x:c r="C18" s="527"/>
      <x:c r="D18" s="527"/>
      <x:c r="E18" s="527"/>
      <x:c r="F18" s="527"/>
      <x:c r="G18" s="527"/>
      <x:c r="H18" s="527"/>
      <x:c r="I18" s="527"/>
      <x:c r="J18" s="527"/>
      <x:c r="K18" s="527"/>
      <x:c r="L18" s="527"/>
    </x:row>
    <x:row r="19">
      <x:c r="A19" s="516" t="str">
        <x:v>年CF = 自家消費量 × 買電単価 + 売電量 × 売電単価 − O&amp;M − PCS交換費</x:v>
      </x:c>
      <x:c r="B19" s="527"/>
      <x:c r="C19" s="527"/>
      <x:c r="D19" s="527"/>
      <x:c r="E19" s="527"/>
      <x:c r="F19" s="527"/>
      <x:c r="G19" s="527"/>
      <x:c r="H19" s="527"/>
      <x:c r="I19" s="527"/>
      <x:c r="J19" s="527"/>
      <x:c r="K19" s="527"/>
      <x:c r="L19" s="527"/>
    </x:row>
    <x:row r="20">
      <x:c r="A20" s="515" t="str">
        <x:v>適用補助金 = MIN（入力補助金, 設置費）、累積CF_0 = −MAX（設置費 − 適用補助金, 0）</x:v>
      </x:c>
      <x:c r="B20" s="527"/>
      <x:c r="C20" s="527"/>
      <x:c r="D20" s="527"/>
      <x:c r="E20" s="527"/>
      <x:c r="F20" s="527"/>
      <x:c r="G20" s="527"/>
      <x:c r="H20" s="527"/>
      <x:c r="I20" s="527"/>
      <x:c r="J20" s="527"/>
      <x:c r="K20" s="527"/>
      <x:c r="L20" s="527"/>
    </x:row>
    <x:row r="21">
      <x:c r="A21" s="516" t="str">
        <x:v>恒久回収年 = その年以降20年目まで累積CFが再び負にならない最初の年</x:v>
      </x:c>
      <x:c r="B21" s="527"/>
      <x:c r="C21" s="527"/>
      <x:c r="D21" s="527"/>
      <x:c r="E21" s="527"/>
      <x:c r="F21" s="527"/>
      <x:c r="G21" s="527"/>
      <x:c r="H21" s="527"/>
      <x:c r="I21" s="527"/>
      <x:c r="J21" s="527"/>
      <x:c r="K21" s="527"/>
      <x:c r="L21" s="527"/>
    </x:row>
    <x:row r="22">
      <x:c r="A22" s="515" t="str">
        <x:v>20年損益と損益分岐設置費は割引前。買電単価のみ入力上昇率、O&amp;M・PCSは入力額固定です。</x:v>
      </x:c>
      <x:c r="B22" s="527"/>
      <x:c r="C22" s="527"/>
      <x:c r="D22" s="527"/>
      <x:c r="E22" s="527"/>
      <x:c r="F22" s="527"/>
      <x:c r="G22" s="527"/>
      <x:c r="H22" s="527"/>
      <x:c r="I22" s="527"/>
      <x:c r="J22" s="527"/>
      <x:c r="K22" s="527"/>
      <x:c r="L22" s="527"/>
    </x:row>
    <x:row r="23">
      <x:c r="A23" s="527"/>
      <x:c r="B23" s="527"/>
      <x:c r="C23" s="527"/>
      <x:c r="D23" s="527"/>
      <x:c r="E23" s="527"/>
      <x:c r="F23" s="527"/>
      <x:c r="G23" s="527"/>
      <x:c r="H23" s="527"/>
      <x:c r="I23" s="527"/>
      <x:c r="J23" s="527"/>
      <x:c r="K23" s="527"/>
      <x:c r="L23" s="527"/>
    </x:row>
    <x:row r="24">
      <x:c r="A24" s="528" t="str">
        <x:v>3｜標準データとMETPV-20入力互換</x:v>
      </x:c>
      <x:c r="B24" s="528"/>
      <x:c r="C24" s="528"/>
      <x:c r="D24" s="528"/>
      <x:c r="E24" s="528"/>
      <x:c r="F24" s="528"/>
      <x:c r="G24" s="528"/>
      <x:c r="H24" s="528"/>
      <x:c r="I24" s="528"/>
      <x:c r="J24" s="528"/>
      <x:c r="K24" s="528"/>
      <x:c r="L24" s="528"/>
    </x:row>
    <x:row r="25">
      <x:c r="A25" s="527"/>
      <x:c r="B25" s="527"/>
      <x:c r="C25" s="527"/>
      <x:c r="D25" s="527"/>
      <x:c r="E25" s="527"/>
      <x:c r="F25" s="527"/>
      <x:c r="G25" s="527"/>
      <x:c r="H25" s="527"/>
      <x:c r="I25" s="527"/>
      <x:c r="J25" s="527"/>
      <x:c r="K25" s="527"/>
      <x:c r="L25" s="527"/>
    </x:row>
    <x:row r="26" ht="28" customHeight="1">
      <x:c r="A26" s="518" t="str">
        <x:v>• 公開標準：PVGIS v5.3 / PVGIS-ERA5、2005～2023年、47都道府県庁等注記代表点、南向き・傾斜30°・地平線影響なしの月別平均。</x:v>
      </x:c>
      <x:c r="B26" s="527"/>
      <x:c r="C26" s="527"/>
      <x:c r="D26" s="527"/>
      <x:c r="E26" s="527"/>
      <x:c r="F26" s="527"/>
      <x:c r="G26" s="527"/>
      <x:c r="H26" s="527"/>
      <x:c r="I26" s="527"/>
      <x:c r="J26" s="527"/>
      <x:c r="K26" s="527"/>
      <x:c r="L26" s="527"/>
    </x:row>
    <x:row r="27" ht="28" customHeight="1">
      <x:c r="A27" s="518" t="str">
        <x:v>• PVGIS-ERA5は再解析値であり、観測地点値・AMeDAS地点値・METPV-20と同等の値ではありません。</x:v>
      </x:c>
      <x:c r="B27" s="527"/>
      <x:c r="C27" s="527"/>
      <x:c r="D27" s="527"/>
      <x:c r="E27" s="527"/>
      <x:c r="F27" s="527"/>
      <x:c r="G27" s="527"/>
      <x:c r="H27" s="527"/>
      <x:c r="I27" s="527"/>
      <x:c r="J27" s="527"/>
      <x:c r="K27" s="527"/>
      <x:c r="L27" s="527"/>
    </x:row>
    <x:row r="28" ht="28" customHeight="1">
      <x:c r="A28" s="518" t="str">
        <x:v>• 任意入力：利用者が利用条件を確認して取得・集計したMETPV-20等の月別日射量・気温を24セルへ入力できます。NEDO数値・地点表は収録しません。</x:v>
      </x:c>
      <x:c r="B28" s="527"/>
      <x:c r="C28" s="527"/>
      <x:c r="D28" s="527"/>
      <x:c r="E28" s="527"/>
      <x:c r="F28" s="527"/>
      <x:c r="G28" s="527"/>
      <x:c r="H28" s="527"/>
      <x:c r="I28" s="527"/>
      <x:c r="J28" s="527"/>
      <x:c r="K28" s="527"/>
      <x:c r="L28" s="527"/>
    </x:row>
    <x:row r="29" ht="28" customHeight="1">
      <x:c r="A29" s="518" t="str">
        <x:v>• 都道府県選択は都道府県庁等代表点の簡易フォールバック。同じ県内の任意住所や屋根を表すものではありません。</x:v>
      </x:c>
      <x:c r="B29" s="527"/>
      <x:c r="C29" s="527"/>
      <x:c r="D29" s="527"/>
      <x:c r="E29" s="527"/>
      <x:c r="F29" s="527"/>
      <x:c r="G29" s="527"/>
      <x:c r="H29" s="527"/>
      <x:c r="I29" s="527"/>
      <x:c r="J29" s="527"/>
      <x:c r="K29" s="527"/>
      <x:c r="L29" s="527"/>
    </x:row>
    <x:row r="30" ht="28" customHeight="1">
      <x:c r="A30" s="518" t="str">
        <x:v>• 方位・傾斜・複数屋根面・影・積雪・出力抑制・機器固有挙動は未実装。保証値や正式提案値には使えません。</x:v>
      </x:c>
      <x:c r="B30" s="527"/>
      <x:c r="C30" s="527"/>
      <x:c r="D30" s="527"/>
      <x:c r="E30" s="527"/>
      <x:c r="F30" s="527"/>
      <x:c r="G30" s="527"/>
      <x:c r="H30" s="527"/>
      <x:c r="I30" s="527"/>
      <x:c r="J30" s="527"/>
      <x:c r="K30" s="527"/>
      <x:c r="L30" s="527"/>
    </x:row>
    <x:row r="31">
      <x:c r="A31" s="527"/>
      <x:c r="B31" s="527"/>
      <x:c r="C31" s="527"/>
      <x:c r="D31" s="527"/>
      <x:c r="E31" s="527"/>
      <x:c r="F31" s="527"/>
      <x:c r="G31" s="527"/>
      <x:c r="H31" s="527"/>
      <x:c r="I31" s="527"/>
      <x:c r="J31" s="527"/>
      <x:c r="K31" s="527"/>
      <x:c r="L31" s="527"/>
    </x:row>
    <x:row r="32">
      <x:c r="A32" s="187" t="str">
        <x:v>4｜公式出典</x:v>
      </x:c>
      <x:c r="B32" s="187"/>
      <x:c r="C32" s="187"/>
      <x:c r="D32" s="187"/>
      <x:c r="E32" s="187"/>
      <x:c r="F32" s="187"/>
      <x:c r="G32" s="187"/>
      <x:c r="H32" s="187"/>
      <x:c r="I32" s="187"/>
      <x:c r="J32" s="187"/>
      <x:c r="K32" s="187"/>
      <x:c r="L32" s="187"/>
    </x:row>
    <x:row r="33">
      <x:c r="A33" s="527"/>
      <x:c r="B33" s="527"/>
      <x:c r="C33" s="527"/>
      <x:c r="D33" s="527"/>
      <x:c r="E33" s="527"/>
      <x:c r="F33" s="527"/>
      <x:c r="G33" s="527"/>
      <x:c r="H33" s="527"/>
      <x:c r="I33" s="527"/>
      <x:c r="J33" s="527"/>
      <x:c r="K33" s="527"/>
      <x:c r="L33" s="527"/>
    </x:row>
    <x:row r="34">
      <x:c r="A34" s="521" t="str">
        <x:v>JIS C 8907:2005 公式記録</x:v>
      </x:c>
      <x:c r="B34" s="521"/>
      <x:c r="C34" s="521"/>
      <x:c r="D34" s="521" t="str">
        <x:v>https://webdesk.jsa.or.jp/books/W11M0090/index/?bunsyo_id=JIS+C+8907:2005</x:v>
      </x:c>
      <x:c r="E34" s="521"/>
      <x:c r="F34" s="521"/>
      <x:c r="G34" s="521"/>
      <x:c r="H34" s="521"/>
      <x:c r="I34" s="521"/>
      <x:c r="J34" s="521"/>
      <x:c r="K34" s="521"/>
      <x:c r="L34" s="521"/>
    </x:row>
    <x:row r="35">
      <x:c r="A35" s="524" t="str">
        <x:v>PVGIS公式・利用条件</x:v>
      </x:c>
      <x:c r="B35" s="524"/>
      <x:c r="C35" s="524"/>
      <x:c r="D35" s="524" t="str">
        <x:v>https://joint-research-centre.ec.europa.eu/photovoltaic-geographical-information-system-pvgis/general-information/usage-conditions-data-protection_en</x:v>
      </x:c>
      <x:c r="E35" s="524"/>
      <x:c r="F35" s="524"/>
      <x:c r="G35" s="524"/>
      <x:c r="H35" s="524"/>
      <x:c r="I35" s="524"/>
      <x:c r="J35" s="524"/>
      <x:c r="K35" s="524"/>
      <x:c r="L35" s="524"/>
    </x:row>
    <x:row r="36">
      <x:c r="A36" s="521" t="str">
        <x:v>PVGIS v5.3 API</x:v>
      </x:c>
      <x:c r="B36" s="521"/>
      <x:c r="C36" s="521"/>
      <x:c r="D36" s="521" t="str">
        <x:v>https://joint-research-centre.ec.europa.eu/photovoltaic-geographical-information-system-pvgis/using-pvgis-5/api-non-interactive-service_en</x:v>
      </x:c>
      <x:c r="E36" s="521"/>
      <x:c r="F36" s="521"/>
      <x:c r="G36" s="521"/>
      <x:c r="H36" s="521"/>
      <x:c r="I36" s="521"/>
      <x:c r="J36" s="521"/>
      <x:c r="K36" s="521"/>
      <x:c r="L36" s="521"/>
    </x:row>
    <x:row r="37">
      <x:c r="A37" s="524" t="str">
        <x:v>PVGIS v5.3データセット（CC BY 4.0）</x:v>
      </x:c>
      <x:c r="B37" s="524"/>
      <x:c r="C37" s="524"/>
      <x:c r="D37" s="524" t="str">
        <x:v>https://data.jrc.ec.europa.eu/dataset/eef67979-e4a9-46f1-80f4-16fe2a266634</x:v>
      </x:c>
      <x:c r="E37" s="524"/>
      <x:c r="F37" s="524"/>
      <x:c r="G37" s="524"/>
      <x:c r="H37" s="524"/>
      <x:c r="I37" s="524"/>
      <x:c r="J37" s="524"/>
      <x:c r="K37" s="524"/>
      <x:c r="L37" s="524"/>
    </x:row>
    <x:row r="38">
      <x:c r="A38" s="521" t="str">
        <x:v>PVGISデータ帰属</x:v>
      </x:c>
      <x:c r="B38" s="521"/>
      <x:c r="C38" s="521"/>
      <x:c r="D38" s="521" t="str">
        <x:v>https://joint-research-centre.ec.europa.eu/photovoltaic-geographical-information-system-pvgis/general-information/geospatial-data-download_en</x:v>
      </x:c>
      <x:c r="E38" s="521"/>
      <x:c r="F38" s="521"/>
      <x:c r="G38" s="521"/>
      <x:c r="H38" s="521"/>
      <x:c r="I38" s="521"/>
      <x:c r="J38" s="521"/>
      <x:c r="K38" s="521"/>
      <x:c r="L38" s="521"/>
    </x:row>
    <x:row r="39">
      <x:c r="A39" s="524" t="str">
        <x:v>代表点座標・国土地理院最適化ベクトルタイル</x:v>
      </x:c>
      <x:c r="B39" s="524"/>
      <x:c r="C39" s="524"/>
      <x:c r="D39" s="524" t="str">
        <x:v>https://github.com/gsi-cyberjapan/optimal_bvmap</x:v>
      </x:c>
      <x:c r="E39" s="524"/>
      <x:c r="F39" s="524"/>
      <x:c r="G39" s="524"/>
      <x:c r="H39" s="524"/>
      <x:c r="I39" s="524"/>
      <x:c r="J39" s="524"/>
      <x:c r="K39" s="524"/>
      <x:c r="L39" s="524"/>
    </x:row>
    <x:row r="40">
      <x:c r="A40" s="521" t="str">
        <x:v>NEDO 日射量データベース（任意入力元）</x:v>
      </x:c>
      <x:c r="B40" s="521"/>
      <x:c r="C40" s="521"/>
      <x:c r="D40" s="521" t="str">
        <x:v>https://www.nedo.go.jp/seika_hyoka/ZZFF_100041.html</x:v>
      </x:c>
      <x:c r="E40" s="521"/>
      <x:c r="F40" s="521"/>
      <x:c r="G40" s="521"/>
      <x:c r="H40" s="521"/>
      <x:c r="I40" s="521"/>
      <x:c r="J40" s="521"/>
      <x:c r="K40" s="521"/>
      <x:c r="L40" s="521"/>
    </x:row>
    <x:row r="41">
      <x:c r="A41" s="524" t="str">
        <x:v>NEDO サイト利用条件</x:v>
      </x:c>
      <x:c r="B41" s="524"/>
      <x:c r="C41" s="524"/>
      <x:c r="D41" s="524" t="str">
        <x:v>https://www.nedo.go.jp/qinf/copyright.html</x:v>
      </x:c>
      <x:c r="E41" s="524"/>
      <x:c r="F41" s="524"/>
      <x:c r="G41" s="524"/>
      <x:c r="H41" s="524"/>
      <x:c r="I41" s="524"/>
      <x:c r="J41" s="524"/>
      <x:c r="K41" s="524"/>
      <x:c r="L41" s="524"/>
    </x:row>
    <x:row r="42">
      <x:c r="A42" s="521" t="str">
        <x:v>2026年度FIT価格（10kW未満）</x:v>
      </x:c>
      <x:c r="B42" s="521"/>
      <x:c r="C42" s="521"/>
      <x:c r="D42" s="521" t="str">
        <x:v>https://www.enecho.meti.go.jp/category/saving_and_new/saiene/kaitori/fit_kakaku.html</x:v>
      </x:c>
      <x:c r="E42" s="521"/>
      <x:c r="F42" s="521"/>
      <x:c r="G42" s="521"/>
      <x:c r="H42" s="521"/>
      <x:c r="I42" s="521"/>
      <x:c r="J42" s="521"/>
      <x:c r="K42" s="521"/>
      <x:c r="L42" s="521"/>
    </x:row>
    <x:row r="43">
      <x:c r="A43" s="524" t="str">
        <x:v>CC BY 4.0 ライセンス</x:v>
      </x:c>
      <x:c r="B43" s="524"/>
      <x:c r="C43" s="524"/>
      <x:c r="D43" s="524" t="str">
        <x:v>https://creativecommons.org/licenses/by/4.0/</x:v>
      </x:c>
      <x:c r="E43" s="524"/>
      <x:c r="F43" s="524"/>
      <x:c r="G43" s="524"/>
      <x:c r="H43" s="524"/>
      <x:c r="I43" s="524"/>
      <x:c r="J43" s="524"/>
      <x:c r="K43" s="524"/>
      <x:c r="L43" s="524"/>
    </x:row>
    <x:row r="44">
      <x:c r="A44" s="521" t="str">
        <x:v>公共データ利用規約 第1.0版（PDL1.0）</x:v>
      </x:c>
      <x:c r="B44" s="521"/>
      <x:c r="C44" s="521"/>
      <x:c r="D44" s="521" t="str">
        <x:v>https://www.digital.go.jp/resources/open_data/public_data_license_v1.0</x:v>
      </x:c>
      <x:c r="E44" s="521"/>
      <x:c r="F44" s="521"/>
      <x:c r="G44" s="521"/>
      <x:c r="H44" s="521"/>
      <x:c r="I44" s="521"/>
      <x:c r="J44" s="521"/>
      <x:c r="K44" s="521"/>
      <x:c r="L44" s="521"/>
    </x:row>
    <x:row r="45">
      <x:c r="A45" s="524" t="str">
        <x:v>Copernicus Products 利用ライセンス</x:v>
      </x:c>
      <x:c r="B45" s="524"/>
      <x:c r="C45" s="524"/>
      <x:c r="D45" s="524" t="str">
        <x:v>https://cds.climate.copernicus.eu/licences/licence-to-use-copernicus-products</x:v>
      </x:c>
      <x:c r="E45" s="524"/>
      <x:c r="F45" s="524"/>
      <x:c r="G45" s="524"/>
      <x:c r="H45" s="524"/>
      <x:c r="I45" s="524"/>
      <x:c r="J45" s="524"/>
      <x:c r="K45" s="524"/>
      <x:c r="L45" s="524"/>
    </x:row>
    <x:row r="46">
      <x:c r="A46" s="579" t="str">
        <x:v>5｜公開ゲート</x:v>
      </x:c>
      <x:c r="B46" s="579"/>
      <x:c r="C46" s="579"/>
      <x:c r="D46" s="579"/>
      <x:c r="E46" s="579"/>
      <x:c r="F46" s="579"/>
      <x:c r="G46" s="579"/>
      <x:c r="H46" s="579"/>
      <x:c r="I46" s="579"/>
      <x:c r="J46" s="579"/>
      <x:c r="K46" s="579"/>
      <x:c r="L46" s="579"/>
    </x:row>
    <x:row r="47">
      <x:c r="A47" s="146" t="str">
        <x:v>公開版の確認範囲：数式・収録データ・権利表記・LibreOffice表示を検証済み。Windows版Excel / Excel Webと計測環境は別途継続確認します。</x:v>
      </x:c>
      <x:c r="B47" s="147"/>
      <x:c r="C47" s="147"/>
      <x:c r="D47" s="147"/>
      <x:c r="E47" s="147"/>
      <x:c r="F47" s="147"/>
      <x:c r="G47" s="147"/>
      <x:c r="H47" s="147"/>
      <x:c r="I47" s="147"/>
      <x:c r="J47" s="147"/>
      <x:c r="K47" s="147"/>
      <x:c r="L47" s="148"/>
    </x:row>
    <x:row r="48">
      <x:c r="A48" s="149"/>
      <x:c r="B48" s="150"/>
      <x:c r="C48" s="150"/>
      <x:c r="D48" s="150"/>
      <x:c r="E48" s="150"/>
      <x:c r="F48" s="150"/>
      <x:c r="G48" s="150"/>
      <x:c r="H48" s="150"/>
      <x:c r="I48" s="150"/>
      <x:c r="J48" s="150"/>
      <x:c r="K48" s="150"/>
      <x:c r="L48" s="151"/>
    </x:row>
    <x:row r="49">
      <x:c r="A49" s="152"/>
      <x:c r="B49" s="153"/>
      <x:c r="C49" s="153"/>
      <x:c r="D49" s="153"/>
      <x:c r="E49" s="153"/>
      <x:c r="F49" s="153"/>
      <x:c r="G49" s="153"/>
      <x:c r="H49" s="153"/>
      <x:c r="I49" s="153"/>
      <x:c r="J49" s="153"/>
      <x:c r="K49" s="153"/>
      <x:c r="L49" s="154"/>
    </x:row>
    <x:row r="50">
      <x:c r="A50" s="33" t="str">
        <x:v>出典：European Commission, Joint Research Centre (JRC), PVGIS v5.3, PVGIS-ERA5, 2005–2023（取得日：2026-08-28）。47代表地点の月別値へ集計・加工。CC BY 4.0。PVGIS © European Communities, 2001–2026. Contains modified Copernicus Climate Change Service information (2005–2023). Neither the European Commission nor ECMWF is responsible for this use。代表点：国土地理院最適化ベクトルタイルを加工、PDL1.0。</x:v>
      </x:c>
      <x:c r="B50" s="34"/>
      <x:c r="C50" s="34"/>
      <x:c r="D50" s="34"/>
      <x:c r="E50" s="34"/>
      <x:c r="F50" s="34"/>
      <x:c r="G50" s="34"/>
      <x:c r="H50" s="34"/>
      <x:c r="I50" s="34"/>
      <x:c r="J50" s="34"/>
      <x:c r="K50" s="34"/>
      <x:c r="L50" s="35"/>
    </x:row>
    <x:row r="51">
      <x:c r="A51" s="36"/>
      <x:c r="B51" s="37"/>
      <x:c r="C51" s="37"/>
      <x:c r="D51" s="37"/>
      <x:c r="E51" s="37"/>
      <x:c r="F51" s="37"/>
      <x:c r="G51" s="37"/>
      <x:c r="H51" s="37"/>
      <x:c r="I51" s="37"/>
      <x:c r="J51" s="37"/>
      <x:c r="K51" s="37"/>
      <x:c r="L51" s="38"/>
    </x:row>
    <x:row r="52">
      <x:c r="A52" s="36"/>
      <x:c r="B52" s="37"/>
      <x:c r="C52" s="37"/>
      <x:c r="D52" s="37"/>
      <x:c r="E52" s="37"/>
      <x:c r="F52" s="37"/>
      <x:c r="G52" s="37"/>
      <x:c r="H52" s="37"/>
      <x:c r="I52" s="37"/>
      <x:c r="J52" s="37"/>
      <x:c r="K52" s="37"/>
      <x:c r="L52" s="38"/>
    </x:row>
    <x:row r="53">
      <x:c r="A53" s="39"/>
      <x:c r="B53" s="40"/>
      <x:c r="C53" s="40"/>
      <x:c r="D53" s="40"/>
      <x:c r="E53" s="40"/>
      <x:c r="F53" s="40"/>
      <x:c r="G53" s="40"/>
      <x:c r="H53" s="40"/>
      <x:c r="I53" s="40"/>
      <x:c r="J53" s="40"/>
      <x:c r="K53" s="40"/>
      <x:c r="L53" s="41"/>
    </x:row>
    <x:row r="54">
      <x:c r="A54" s="527"/>
      <x:c r="B54" s="527"/>
      <x:c r="C54" s="527"/>
      <x:c r="D54" s="527"/>
      <x:c r="E54" s="527"/>
      <x:c r="F54" s="527"/>
      <x:c r="G54" s="527"/>
      <x:c r="H54" s="527"/>
      <x:c r="I54" s="527"/>
      <x:c r="J54" s="527"/>
      <x:c r="K54" s="527"/>
      <x:c r="L54" s="527"/>
    </x:row>
    <x:row r="55">
      <x:c r="A55" s="79" t="str">
        <x:v>本Excelは契約判断の補助資料です。発電量、料金、補助金、売電、回収、故障・交換費の将来値を保証しません。</x:v>
      </x:c>
      <x:c r="B55" s="80"/>
      <x:c r="C55" s="80"/>
      <x:c r="D55" s="80"/>
      <x:c r="E55" s="80"/>
      <x:c r="F55" s="80"/>
      <x:c r="G55" s="80"/>
      <x:c r="H55" s="80"/>
      <x:c r="I55" s="80"/>
      <x:c r="J55" s="80"/>
      <x:c r="K55" s="80"/>
      <x:c r="L55" s="81"/>
    </x:row>
    <x:row r="56">
      <x:c r="A56" s="85"/>
      <x:c r="B56" s="86"/>
      <x:c r="C56" s="86"/>
      <x:c r="D56" s="86"/>
      <x:c r="E56" s="86"/>
      <x:c r="F56" s="86"/>
      <x:c r="G56" s="86"/>
      <x:c r="H56" s="86"/>
      <x:c r="I56" s="86"/>
      <x:c r="J56" s="86"/>
      <x:c r="K56" s="86"/>
      <x:c r="L56" s="87"/>
    </x:row>
  </x:sheetData>
  <x:sheetProtection sheet="1" objects="0" scenarios="1" formatCells="1" formatColumns="1" formatRows="1" insertColumns="1" insertRows="1" insertHyperlinks="1" deleteColumns="1" deleteRows="1" selectLockedCells="0" selectUnlockedCells="0"/>
  <x:mergeCells>
    <x:mergeCell ref="A1:L2"/>
    <x:mergeCell ref="A3:L3"/>
    <x:mergeCell ref="A5:L5"/>
    <x:mergeCell ref="A7:L7"/>
    <x:mergeCell ref="A8:L8"/>
    <x:mergeCell ref="A9:L9"/>
    <x:mergeCell ref="A10:L10"/>
    <x:mergeCell ref="A11:L11"/>
    <x:mergeCell ref="A12:L12"/>
    <x:mergeCell ref="A13:L13"/>
    <x:mergeCell ref="A15:L15"/>
    <x:mergeCell ref="A17:L17"/>
    <x:mergeCell ref="A18:L18"/>
    <x:mergeCell ref="A19:L19"/>
    <x:mergeCell ref="A20:L20"/>
    <x:mergeCell ref="A21:L21"/>
    <x:mergeCell ref="A22:L22"/>
    <x:mergeCell ref="A24:L24"/>
    <x:mergeCell ref="A26:L26"/>
    <x:mergeCell ref="A27:L27"/>
    <x:mergeCell ref="A28:L28"/>
    <x:mergeCell ref="A29:L29"/>
    <x:mergeCell ref="A30:L30"/>
    <x:mergeCell ref="A32:L32"/>
    <x:mergeCell ref="A34:C34"/>
    <x:mergeCell ref="D34:L34"/>
    <x:mergeCell ref="A35:C35"/>
    <x:mergeCell ref="D35:L35"/>
    <x:mergeCell ref="A36:C36"/>
    <x:mergeCell ref="D36:L36"/>
    <x:mergeCell ref="A37:C37"/>
    <x:mergeCell ref="D37:L37"/>
    <x:mergeCell ref="A38:C38"/>
    <x:mergeCell ref="D38:L38"/>
    <x:mergeCell ref="A39:C39"/>
    <x:mergeCell ref="D39:L39"/>
    <x:mergeCell ref="A40:C40"/>
    <x:mergeCell ref="D40:L40"/>
    <x:mergeCell ref="A41:C41"/>
    <x:mergeCell ref="D41:L41"/>
    <x:mergeCell ref="A42:C42"/>
    <x:mergeCell ref="D42:L42"/>
    <x:mergeCell ref="A43:C43"/>
    <x:mergeCell ref="D43:L43"/>
    <x:mergeCell ref="A44:C44"/>
    <x:mergeCell ref="D44:L44"/>
    <x:mergeCell ref="A45:C45"/>
    <x:mergeCell ref="D45:L45"/>
    <x:mergeCell ref="A46:L46"/>
    <x:mergeCell ref="A47:L49"/>
    <x:mergeCell ref="A50:L53"/>
    <x:mergeCell ref="A55:L56"/>
  </x:mergeCells>
  <x:hyperlinks>
    <x:hyperlink ref="D34:L34" r:id="rIdEnegaeru1" display="JIS C 8907:2005 公式記録"/>
    <x:hyperlink ref="D35:L35" r:id="rIdEnegaeru2" display="PVGIS公式・利用条件"/>
    <x:hyperlink ref="D36:L36" r:id="rIdEnegaeru3" display="PVGIS v5.3 API"/>
    <x:hyperlink ref="D37:L37" r:id="rIdEnegaeru4" display="PVGIS v5.3データセット"/>
    <x:hyperlink ref="D38:L38" r:id="rIdEnegaeru5" display="PVGISデータ帰属"/>
    <x:hyperlink ref="D39:L39" r:id="rIdEnegaeru6" display="代表点座標・国土地理院最適化ベクトルタイル"/>
    <x:hyperlink ref="D40:L40" r:id="rIdEnegaeru7" display="NEDO 日射量データベース"/>
    <x:hyperlink ref="D41:L41" r:id="rIdEnegaeru8" display="NEDO サイト利用条件"/>
    <x:hyperlink ref="D42:L42" r:id="rIdEnegaeru9" display="2026年度FIT価格"/>
    <x:hyperlink ref="D43:L43" r:id="rIdEnegaeru10" display="CC BY 4.0 ライセンス"/>
    <x:hyperlink ref="D44:L44" r:id="rIdEnegaeru11" display="公共データ利用規約 第1.0版（PDL1.0）"/>
    <x:hyperlink ref="D45:L45" r:id="rIdEnegaeru12" display="Copernicus Products 利用ライセンス"/>
  </x:hyperlinks>
  <x:pageMargins left="0.25" right="0.25" top="0.4" bottom="0.4" header="0.2" footer="0.2"/>
  <x:pageSetup paperSize="9" orientation="landscape" fitToWidth="1" fitToHeight="1"/>
</x:worksheet>
</file>

<file path=xl/worksheets/sheet8.xml><?xml version="1.0" encoding="utf-8"?>
<x:worksheet xmlns:x="http://schemas.openxmlformats.org/spreadsheetml/2006/main">
  <x:sheetPr>
    <x:pageSetUpPr fitToPage="1"/>
  </x:sheetPr>
  <x:sheetViews>
    <x:sheetView showGridLines="0" workbookViewId="0">
      <x:pane ySplit="5" topLeftCell="A6" activePane="bottomLeft" state="frozen"/>
    </x:sheetView>
  </x:sheetViews>
  <x:sheetFormatPr defaultRowHeight="15"/>
  <x:cols>
    <x:col min="1" max="1" width="10" hidden="0" customWidth="1"/>
    <x:col min="2" max="2" width="22" hidden="0" customWidth="1"/>
    <x:col min="3" max="3" width="16" hidden="0" customWidth="1"/>
    <x:col min="4" max="4" width="20"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s>
  <x:sheetData>
    <x:row r="1">
      <x:c r="A1" s="526" t="str">
        <x:v>公開前QA｜品質・制約</x:v>
      </x:c>
      <x:c r="B1" s="526"/>
      <x:c r="C1" s="526"/>
      <x:c r="D1" s="526"/>
      <x:c r="E1" s="526"/>
      <x:c r="F1" s="526"/>
      <x:c r="G1" s="526"/>
      <x:c r="H1" s="526"/>
      <x:c r="I1" s="526"/>
      <x:c r="J1" s="526"/>
    </x:row>
    <x:row r="2">
      <x:c r="A2" s="526"/>
      <x:c r="B2" s="526"/>
      <x:c r="C2" s="526"/>
      <x:c r="D2" s="526"/>
      <x:c r="E2" s="526"/>
      <x:c r="F2" s="526"/>
      <x:c r="G2" s="526"/>
      <x:c r="H2" s="526"/>
      <x:c r="I2" s="526"/>
      <x:c r="J2" s="526"/>
    </x:row>
    <x:row r="3">
      <x:c r="A3" s="8" t="str">
        <x:v>PASSはブック内検査、LIMITATIONは利用環境ごとの確認範囲を示します。未確認項目を合格扱いにはしません。</x:v>
      </x:c>
      <x:c r="B3" s="8"/>
      <x:c r="C3" s="8"/>
      <x:c r="D3" s="8"/>
      <x:c r="E3" s="8"/>
      <x:c r="F3" s="8"/>
      <x:c r="G3" s="8"/>
      <x:c r="H3" s="8"/>
      <x:c r="I3" s="8"/>
      <x:c r="J3" s="8"/>
    </x:row>
    <x:row r="4">
      <x:c r="A4" s="527"/>
      <x:c r="B4" s="527"/>
      <x:c r="C4" s="527"/>
      <x:c r="D4" s="527"/>
      <x:c r="E4" s="527"/>
      <x:c r="F4" s="527"/>
      <x:c r="G4" s="527"/>
      <x:c r="H4" s="527"/>
      <x:c r="I4" s="527"/>
      <x:c r="J4" s="527"/>
    </x:row>
    <x:row r="5">
      <x:c r="A5" s="13" t="str">
        <x:v>状態</x:v>
      </x:c>
      <x:c r="B5" s="13" t="str">
        <x:v>テスト</x:v>
      </x:c>
      <x:c r="C5" s="13" t="str">
        <x:v>検査値</x:v>
      </x:c>
      <x:c r="D5" s="13" t="str">
        <x:v>期待値</x:v>
      </x:c>
      <x:c r="E5" s="13" t="str">
        <x:v>説明</x:v>
      </x:c>
      <x:c r="F5" s="13"/>
      <x:c r="G5" s="13"/>
      <x:c r="H5" s="13"/>
      <x:c r="I5" s="13"/>
      <x:c r="J5" s="13"/>
    </x:row>
    <x:row r="6">
      <x:c r="A6" s="20" t="str">
        <x:f>IF(ABS(C6-D6)&lt;0.000001,"PASS","FAIL")</x:f>
        <x:v>PASS</x:v>
      </x:c>
      <x:c r="B6" s="20" t="str">
        <x:v>47都道府県</x:v>
      </x:c>
      <x:c r="C6" s="196" t="n">
        <x:f>COUNTA('_地点データ'!$A$5:$A$51)</x:f>
        <x:v>47</x:v>
      </x:c>
      <x:c r="D6" s="196" t="n">
        <x:v>47</x:v>
      </x:c>
      <x:c r="E6" s="20" t="str">
        <x:v>代表地点を47件収録</x:v>
      </x:c>
      <x:c r="F6" s="20"/>
      <x:c r="G6" s="20"/>
      <x:c r="H6" s="20"/>
      <x:c r="I6" s="20"/>
      <x:c r="J6" s="20"/>
    </x:row>
    <x:row r="7">
      <x:c r="A7" s="20" t="str">
        <x:f>IF(ABS(C7-D7)&lt;0.000001,"PASS","FAIL")</x:f>
        <x:v>PASS</x:v>
      </x:c>
      <x:c r="B7" s="20" t="str">
        <x:v>47×12 日射量</x:v>
      </x:c>
      <x:c r="C7" s="196" t="n">
        <x:f>COUNT('_地点データ'!$G$5:$R$51)</x:f>
        <x:v>564</x:v>
      </x:c>
      <x:c r="D7" s="196" t="n">
        <x:v>564</x:v>
      </x:c>
      <x:c r="E7" s="20" t="str">
        <x:v>標準日射量に欠損なし</x:v>
      </x:c>
      <x:c r="F7" s="20"/>
      <x:c r="G7" s="20"/>
      <x:c r="H7" s="20"/>
      <x:c r="I7" s="20"/>
      <x:c r="J7" s="20"/>
    </x:row>
    <x:row r="8">
      <x:c r="A8" s="20" t="str">
        <x:f>IF(ABS(C8-D8)&lt;0.000001,"PASS","FAIL")</x:f>
        <x:v>PASS</x:v>
      </x:c>
      <x:c r="B8" s="20" t="str">
        <x:v>47×12 気温</x:v>
      </x:c>
      <x:c r="C8" s="196" t="n">
        <x:f>COUNT('_地点データ'!$S$5:$AD$51)</x:f>
        <x:v>564</x:v>
      </x:c>
      <x:c r="D8" s="196" t="n">
        <x:v>564</x:v>
      </x:c>
      <x:c r="E8" s="20" t="str">
        <x:v>標準気温に欠損なし</x:v>
      </x:c>
      <x:c r="F8" s="20"/>
      <x:c r="G8" s="20"/>
      <x:c r="H8" s="20"/>
      <x:c r="I8" s="20"/>
      <x:c r="J8" s="20"/>
    </x:row>
    <x:row r="9">
      <x:c r="A9" s="20" t="str">
        <x:f>IF(ABS(C9-D9)&lt;0.000001,"PASS","FAIL")</x:f>
        <x:v>PASS</x:v>
      </x:c>
      <x:c r="B9" s="20" t="str">
        <x:v>需要配分合計</x:v>
      </x:c>
      <x:c r="C9" s="196" t="n">
        <x:f>'_設定'!$C$18</x:f>
        <x:v>1</x:v>
      </x:c>
      <x:c r="D9" s="196" t="n">
        <x:v>1</x:v>
      </x:c>
      <x:c r="E9" s="20" t="str">
        <x:v>月需要配分の合計が100%</x:v>
      </x:c>
      <x:c r="F9" s="20"/>
      <x:c r="G9" s="20"/>
      <x:c r="H9" s="20"/>
      <x:c r="I9" s="20"/>
      <x:c r="J9" s="20"/>
    </x:row>
    <x:row r="10">
      <x:c r="A10" s="20" t="str">
        <x:f>IF(C10&gt;=D10,"PASS","FAIL")</x:f>
        <x:v>PASS</x:v>
      </x:c>
      <x:c r="B10" s="20" t="str">
        <x:v>需要配分の負値</x:v>
      </x:c>
      <x:c r="C10" s="196" t="n">
        <x:f>MIN('_設定'!$C$6:$C$17)</x:f>
        <x:v>0.07</x:v>
      </x:c>
      <x:c r="D10" s="196" t="n">
        <x:v>0</x:v>
      </x:c>
      <x:c r="E10" s="20" t="str">
        <x:v>各月0%以上</x:v>
      </x:c>
      <x:c r="F10" s="20"/>
      <x:c r="G10" s="20"/>
      <x:c r="H10" s="20"/>
      <x:c r="I10" s="20"/>
      <x:c r="J10" s="20"/>
    </x:row>
    <x:row r="11">
      <x:c r="A11" s="20" t="str">
        <x:f>IF(ABS(C11-D11)&lt;0.000001,"PASS","FAIL")</x:f>
        <x:v>PASS</x:v>
      </x:c>
      <x:c r="B11" s="20" t="str">
        <x:v>設計係数積算</x:v>
      </x:c>
      <x:c r="C11" s="196" t="n">
        <x:f>'詳細設定'!$D$31-'詳細設定'!$D$23*'詳細設定'!$D$24*'詳細設定'!$D$25*'詳細設定'!$D$26*'詳細設定'!$D$27</x:f>
        <x:v>0</x:v>
      </x:c>
      <x:c r="D11" s="196" t="n">
        <x:v>0</x:v>
      </x:c>
      <x:c r="E11" s="20" t="str">
        <x:v>係数の積算一致</x:v>
      </x:c>
      <x:c r="F11" s="20"/>
      <x:c r="G11" s="20"/>
      <x:c r="H11" s="20"/>
      <x:c r="I11" s="20"/>
      <x:c r="J11" s="20"/>
    </x:row>
    <x:row r="12">
      <x:c r="A12" s="20" t="str">
        <x:f>IF(ABS(C12-D12)&lt;0.000001,"PASS","FAIL")</x:f>
        <x:v>PASS</x:v>
      </x:c>
      <x:c r="B12" s="20" t="str">
        <x:v>標準日射強度</x:v>
      </x:c>
      <x:c r="C12" s="196" t="n">
        <x:f>IF('詳細設定'!$D$30&gt;0,1,0)</x:f>
        <x:v>1</x:v>
      </x:c>
      <x:c r="D12" s="196" t="n">
        <x:v>1</x:v>
      </x:c>
      <x:c r="E12" s="20" t="str">
        <x:v>ゼロ除算を防ぐ</x:v>
      </x:c>
      <x:c r="F12" s="20"/>
      <x:c r="G12" s="20"/>
      <x:c r="H12" s="20"/>
      <x:c r="I12" s="20"/>
      <x:c r="J12" s="20"/>
    </x:row>
    <x:row r="13">
      <x:c r="A13" s="20" t="str">
        <x:f>IF(ABS(C13-D13)&lt;0.000001,"PASS","FAIL")</x:f>
        <x:v>PASS</x:v>
      </x:c>
      <x:c r="B13" s="20" t="str">
        <x:v>入力境界</x:v>
      </x:c>
      <x:c r="C13" s="196" t="n">
        <x:f>'_設定'!$J$21</x:f>
        <x:v>1</x:v>
      </x:c>
      <x:c r="D13" s="196" t="n">
        <x:v>1</x:v>
      </x:c>
      <x:c r="E13" s="20" t="str">
        <x:v>都道府県・住宅10kW未満・整数期間・全入力範囲</x:v>
      </x:c>
      <x:c r="F13" s="20"/>
      <x:c r="G13" s="20"/>
      <x:c r="H13" s="20"/>
      <x:c r="I13" s="20"/>
      <x:c r="J13" s="20"/>
    </x:row>
    <x:row r="14">
      <x:c r="A14" s="20" t="str">
        <x:f>IF(ABS(C14-D14)&lt;0.000001,"PASS","FAIL")</x:f>
        <x:v>PASS</x:v>
      </x:c>
      <x:c r="B14" s="20" t="str">
        <x:v>補助金上限</x:v>
      </x:c>
      <x:c r="C14" s="196" t="n">
        <x:f>MAX('_設定'!$F$21-MAX('3分入力'!$D$14,0),0)</x:f>
        <x:v>0</x:v>
      </x:c>
      <x:c r="D14" s="196" t="n">
        <x:v>0</x:v>
      </x:c>
      <x:c r="E14" s="20" t="str">
        <x:v>適用補助金は設置費以下</x:v>
      </x:c>
      <x:c r="F14" s="20"/>
      <x:c r="G14" s="20"/>
      <x:c r="H14" s="20"/>
      <x:c r="I14" s="20"/>
      <x:c r="J14" s="20"/>
    </x:row>
    <x:row r="15">
      <x:c r="A15" s="20" t="str">
        <x:f>IF(C15&gt;=D15,"PASS","FAIL")</x:f>
        <x:v>PASS</x:v>
      </x:c>
      <x:c r="B15" s="20" t="str">
        <x:v>負の発電量</x:v>
      </x:c>
      <x:c r="C15" s="196" t="n">
        <x:f>MIN('_計算月次'!$J$5:$J$16)</x:f>
        <x:v>398.45169764745054</x:v>
      </x:c>
      <x:c r="D15" s="196" t="n">
        <x:v>0</x:v>
      </x:c>
      <x:c r="E15" s="20" t="str">
        <x:v>初年度月別発電は0以上</x:v>
      </x:c>
      <x:c r="F15" s="20"/>
      <x:c r="G15" s="20"/>
      <x:c r="H15" s="20"/>
      <x:c r="I15" s="20"/>
      <x:c r="J15" s="20"/>
    </x:row>
    <x:row r="16">
      <x:c r="A16" s="20" t="str">
        <x:f>IF(ABS(C16-D16)&lt;0.000001,"PASS","FAIL")</x:f>
        <x:v>PASS</x:v>
      </x:c>
      <x:c r="B16" s="20" t="str">
        <x:v>初年度発電収支</x:v>
      </x:c>
      <x:c r="C16" s="196" t="n">
        <x:f>MAX(MAX('_計算月次'!$Q$5:$Q$16),-MIN('_計算月次'!$Q$5:$Q$16))</x:f>
        <x:v>0</x:v>
      </x:c>
      <x:c r="D16" s="196" t="n">
        <x:v>0</x:v>
      </x:c>
      <x:c r="E16" s="20" t="str">
        <x:v>発電＝自家消費＋売電</x:v>
      </x:c>
      <x:c r="F16" s="20"/>
      <x:c r="G16" s="20"/>
      <x:c r="H16" s="20"/>
      <x:c r="I16" s="20"/>
      <x:c r="J16" s="20"/>
    </x:row>
    <x:row r="17">
      <x:c r="A17" s="20" t="str">
        <x:f>IF(ABS(C17-D17)&lt;0.000001,"PASS","FAIL")</x:f>
        <x:v>PASS</x:v>
      </x:c>
      <x:c r="B17" s="20" t="str">
        <x:v>240か月発電収支</x:v>
      </x:c>
      <x:c r="C17" s="196" t="n">
        <x:f>MAX(MAX('_計算240'!$O$5:$O$244),-MIN('_計算240'!$O$5:$O$244))</x:f>
        <x:v>0</x:v>
      </x:c>
      <x:c r="D17" s="196" t="n">
        <x:v>0</x:v>
      </x:c>
      <x:c r="E17" s="20" t="str">
        <x:v>本体20年の全月一致</x:v>
      </x:c>
      <x:c r="F17" s="20"/>
      <x:c r="G17" s="20"/>
      <x:c r="H17" s="20"/>
      <x:c r="I17" s="20"/>
      <x:c r="J17" s="20"/>
    </x:row>
    <x:row r="18">
      <x:c r="A18" s="20" t="str">
        <x:f>IF(ABS(C18-D18)&lt;0.000001,"PASS","FAIL")</x:f>
        <x:v>PASS</x:v>
      </x:c>
      <x:c r="B18" s="20" t="str">
        <x:v>年次発電収支</x:v>
      </x:c>
      <x:c r="C18" s="196" t="n">
        <x:f>MAX(MAX('_計算年次'!$O$6:$O$25),-MIN('_計算年次'!$O$6:$O$25))</x:f>
        <x:v>0</x:v>
      </x:c>
      <x:c r="D18" s="196" t="n">
        <x:v>0</x:v>
      </x:c>
      <x:c r="E18" s="20" t="str">
        <x:v>年集計も発電収支一致</x:v>
      </x:c>
      <x:c r="F18" s="20"/>
      <x:c r="G18" s="20"/>
      <x:c r="H18" s="20"/>
      <x:c r="I18" s="20"/>
      <x:c r="J18" s="20"/>
    </x:row>
    <x:row r="19">
      <x:c r="A19" s="20" t="str">
        <x:f>IF(ABS(C19-D19)&lt;0.000001,"PASS","FAIL")</x:f>
        <x:v>PASS</x:v>
      </x:c>
      <x:c r="B19" s="20" t="str">
        <x:v>年1キャッシュフロー</x:v>
      </x:c>
      <x:c r="C19" s="196" t="n">
        <x:f>'_計算年次'!$K$6-(SUM('_計算240'!$N$5:$N$16)-IF(AND('_設定'!$J$23=1,'3分入力'!$D$8&gt;0),MAX('詳細設定'!$D$17,0),0)-IF(AND('_設定'!$J$23=1,'3分入力'!$D$8&gt;0,'詳細設定'!$D$18=1),MAX('詳細設定'!$D$19,0),0))</x:f>
        <x:v>2.9103830456733704e-11</x:v>
      </x:c>
      <x:c r="D19" s="196" t="n">
        <x:v>0</x:v>
      </x:c>
      <x:c r="E19" s="20" t="str">
        <x:v>月次便益と年次CF一致</x:v>
      </x:c>
      <x:c r="F19" s="20"/>
      <x:c r="G19" s="20"/>
      <x:c r="H19" s="20"/>
      <x:c r="I19" s="20"/>
      <x:c r="J19" s="20"/>
    </x:row>
    <x:row r="20">
      <x:c r="A20" s="20" t="str">
        <x:f>IF(ABS(C20-D20)&lt;0.000001,"PASS","FAIL")</x:f>
        <x:v>PASS</x:v>
      </x:c>
      <x:c r="B20" s="20" t="str">
        <x:v>標準ケース一致</x:v>
      </x:c>
      <x:c r="C20" s="196" t="n">
        <x:f>MAX('_シナリオ'!$R$27:$R$46)</x:f>
        <x:v>0</x:v>
      </x:c>
      <x:c r="D20" s="196" t="n">
        <x:v>0</x:v>
      </x:c>
      <x:c r="E20" s="20" t="str">
        <x:v>標準ケースと本体が全20年一致</x:v>
      </x:c>
      <x:c r="F20" s="20"/>
      <x:c r="G20" s="20"/>
      <x:c r="H20" s="20"/>
      <x:c r="I20" s="20"/>
      <x:c r="J20" s="20"/>
    </x:row>
    <x:row r="21">
      <x:c r="A21" s="20" t="str">
        <x:f>IF(ABS(C21-D21)&lt;0.000001,"PASS","FAIL")</x:f>
        <x:v>PASS</x:v>
      </x:c>
      <x:c r="B21" s="20" t="str">
        <x:v>3条件720か月収支</x:v>
      </x:c>
      <x:c r="C21" s="196" t="n">
        <x:f>MAX(MAX('_シナリオ月次'!$R$5:$R$724),-MIN('_シナリオ月次'!$R$5:$R$724))</x:f>
        <x:v>0</x:v>
      </x:c>
      <x:c r="D21" s="196" t="n">
        <x:v>0</x:v>
      </x:c>
      <x:c r="E21" s="20" t="str">
        <x:v>3条件の全月一致</x:v>
      </x:c>
      <x:c r="F21" s="20"/>
      <x:c r="G21" s="20"/>
      <x:c r="H21" s="20"/>
      <x:c r="I21" s="20"/>
      <x:c r="J21" s="20"/>
    </x:row>
    <x:row r="22">
      <x:c r="A22" s="20" t="str">
        <x:f>IF(ABS(C22-D22)&lt;0.000001,"PASS","FAIL")</x:f>
        <x:v>PASS</x:v>
      </x:c>
      <x:c r="B22" s="20" t="str">
        <x:v>発電量の単調性</x:v>
      </x:c>
      <x:c r="C22" s="196" t="n">
        <x:f>MAX('_計算年次'!$P$7:$P$25)</x:f>
        <x:v>0</x:v>
      </x:c>
      <x:c r="D22" s="196" t="n">
        <x:v>0</x:v>
      </x:c>
      <x:c r="E22" s="20" t="str">
        <x:v>追加劣化率が非負なら前年比増加なし</x:v>
      </x:c>
      <x:c r="F22" s="20"/>
      <x:c r="G22" s="20"/>
      <x:c r="H22" s="20"/>
      <x:c r="I22" s="20"/>
      <x:c r="J22" s="20"/>
    </x:row>
    <x:row r="23">
      <x:c r="A23" s="20" t="str">
        <x:f>IF(ABS(C23-D23)&lt;0.000001,"PASS","FAIL")</x:f>
        <x:v>PASS</x:v>
      </x:c>
      <x:c r="B23" s="20" t="str">
        <x:v>PCS控除</x:v>
      </x:c>
      <x:c r="C23" s="196" t="n">
        <x:f>SUM('_計算年次'!$J$6:$J$25)-IF(AND('_設定'!$J$23=1,'3分入力'!$D$8&gt;0,'詳細設定'!$D$18&gt;=1,'詳細設定'!$D$18&lt;=20),MAX('詳細設定'!$D$19,0),0)</x:f>
        <x:v>0</x:v>
      </x:c>
      <x:c r="D23" s="196" t="n">
        <x:v>0</x:v>
      </x:c>
      <x:c r="E23" s="20" t="str">
        <x:v>有効・容量ありの指定年に1回だけ控除</x:v>
      </x:c>
      <x:c r="F23" s="20"/>
      <x:c r="G23" s="20"/>
      <x:c r="H23" s="20"/>
      <x:c r="I23" s="20"/>
      <x:c r="J23" s="20"/>
    </x:row>
    <x:row r="24">
      <x:c r="A24" s="20" t="str">
        <x:f>IF(ABS(C24-D24)&lt;0.000001,"PASS","FAIL")</x:f>
        <x:v>PASS</x:v>
      </x:c>
      <x:c r="B24" s="20" t="str">
        <x:v>FIT境界</x:v>
      </x:c>
      <x:c r="C24" s="196" t="n">
        <x:f>ABS('_計算年次'!$F$9-'詳細設定'!$D$7)+ABS('_計算年次'!$F$10-'詳細設定'!$D$9)+ABS('_計算年次'!$F$15-'詳細設定'!$D$9)+ABS('_計算年次'!$F$16-'詳細設定'!$D$11)</x:f>
        <x:v>0</x:v>
      </x:c>
      <x:c r="D24" s="196" t="n">
        <x:v>0</x:v>
      </x:c>
      <x:c r="E24" s="20" t="str">
        <x:v>年4/5/10/11の二段階FIT・卒FIT</x:v>
      </x:c>
      <x:c r="F24" s="20"/>
      <x:c r="G24" s="20"/>
      <x:c r="H24" s="20"/>
      <x:c r="I24" s="20"/>
      <x:c r="J24" s="20"/>
    </x:row>
    <x:row r="25">
      <x:c r="A25" s="20" t="str">
        <x:f>IF(ABS(C25-D25)&lt;0.000001,"PASS","FAIL")</x:f>
        <x:v>PASS</x:v>
      </x:c>
      <x:c r="B25" s="20" t="str">
        <x:v>任意入力ゲート</x:v>
      </x:c>
      <x:c r="C25" s="196" t="n">
        <x:f>'_設定'!$J$22</x:f>
        <x:v>1</x:v>
      </x:c>
      <x:c r="D25" s="196" t="n">
        <x:v>1</x:v>
      </x:c>
      <x:c r="E25" s="20" t="str">
        <x:v>任意データ使用時は24セル・範囲内が必須</x:v>
      </x:c>
      <x:c r="F25" s="20"/>
      <x:c r="G25" s="20"/>
      <x:c r="H25" s="20"/>
      <x:c r="I25" s="20"/>
      <x:c r="J25" s="20"/>
    </x:row>
    <x:row r="26">
      <x:c r="A26" s="20" t="str">
        <x:f>IF(ABS(C26-D26)&lt;0.000001,"PASS","FAIL")</x:f>
        <x:v>PASS</x:v>
      </x:c>
      <x:c r="B26" s="20" t="str">
        <x:v>CTA URL</x:v>
      </x:c>
      <x:c r="C26" s="196" t="n">
        <x:f>COUNTA('_設定'!$I$6:$I$8)</x:f>
        <x:v>3</x:v>
      </x:c>
      <x:c r="D26" s="196" t="n">
        <x:v>3</x:v>
      </x:c>
      <x:c r="E26" s="20" t="str">
        <x:v>家庭1件＋事業者2件・UTM付き</x:v>
      </x:c>
      <x:c r="F26" s="20"/>
      <x:c r="G26" s="20"/>
      <x:c r="H26" s="20"/>
      <x:c r="I26" s="20"/>
      <x:c r="J26" s="20"/>
    </x:row>
    <x:row r="27">
      <x:c r="A27" s="20" t="str">
        <x:f>IF(ABS(C27-D27)&lt;0.000001,"PASS","FAIL")</x:f>
        <x:v>PASS</x:v>
      </x:c>
      <x:c r="B27" s="20" t="str">
        <x:v>PVGIS API台帳</x:v>
      </x:c>
      <x:c r="C27" s="196" t="n">
        <x:f>COUNTA('_地点データ'!$AF$5:$AF$51)</x:f>
        <x:v>47</x:v>
      </x:c>
      <x:c r="D27" s="196" t="n">
        <x:v>47</x:v>
      </x:c>
      <x:c r="E27" s="20" t="str">
        <x:v>全代表点に固定取得URLを収録</x:v>
      </x:c>
      <x:c r="F27" s="20"/>
      <x:c r="G27" s="20"/>
      <x:c r="H27" s="20"/>
      <x:c r="I27" s="20"/>
      <x:c r="J27" s="20"/>
    </x:row>
    <x:row r="28">
      <x:c r="A28" s="20" t="str">
        <x:f>IF(ABS(C28-D28)&lt;0.000001,"PASS","FAIL")</x:f>
        <x:v>PASS</x:v>
      </x:c>
      <x:c r="B28" s="20" t="str">
        <x:v>PVGIS応答ハッシュ</x:v>
      </x:c>
      <x:c r="C28" s="196" t="n">
        <x:f>COUNTA('_地点データ'!$AG$5:$AG$51)</x:f>
        <x:v>47</x:v>
      </x:c>
      <x:c r="D28" s="196" t="n">
        <x:v>47</x:v>
      </x:c>
      <x:c r="E28" s="20" t="str">
        <x:v>全代表点に原応答SHA-256を収録</x:v>
      </x:c>
      <x:c r="F28" s="20"/>
      <x:c r="G28" s="20"/>
      <x:c r="H28" s="20"/>
      <x:c r="I28" s="20"/>
      <x:c r="J28" s="20"/>
    </x:row>
    <x:row r="29">
      <x:c r="A29" s="20" t="str">
        <x:f>IF(ABS(C29-D29)&lt;0.000001,"PASS","FAIL")</x:f>
        <x:v>PASS</x:v>
      </x:c>
      <x:c r="B29" s="20" t="str">
        <x:v>計算ハードゲート</x:v>
      </x:c>
      <x:c r="C29" s="196" t="n">
        <x:f>'_設定'!$J$23</x:f>
        <x:v>1</x:v>
      </x:c>
      <x:c r="D29" s="196" t="n">
        <x:v>1</x:v>
      </x:c>
      <x:c r="E29" s="20" t="str">
        <x:v>無効入力時は全発電・便益・費用計算を停止</x:v>
      </x:c>
      <x:c r="F29" s="20"/>
      <x:c r="G29" s="20"/>
      <x:c r="H29" s="20"/>
      <x:c r="I29" s="20"/>
      <x:c r="J29" s="20"/>
    </x:row>
    <x:row r="30">
      <x:c r="A30" s="20" t="str">
        <x:v>LIMITATION</x:v>
      </x:c>
      <x:c r="B30" s="20" t="str">
        <x:v>Windows / Excel Web</x:v>
      </x:c>
      <x:c r="C30" s="20" t="str">
        <x:v>未実機</x:v>
      </x:c>
      <x:c r="D30" s="20" t="str">
        <x:v>表示・再計算・リンク</x:v>
      </x:c>
      <x:c r="E30" s="20" t="str">
        <x:v>Windows版Excel / Excel Webでの入力変更後再計算は継続確認</x:v>
      </x:c>
      <x:c r="F30" s="20"/>
      <x:c r="G30" s="20"/>
      <x:c r="H30" s="20"/>
      <x:c r="I30" s="20"/>
      <x:c r="J30" s="20"/>
    </x:row>
    <x:row r="31">
      <x:c r="A31" s="20" t="str">
        <x:v>PARTIAL</x:v>
      </x:c>
      <x:c r="B31" s="20" t="str">
        <x:v>CTA / GA4</x:v>
      </x:c>
      <x:c r="C31" s="20" t="str">
        <x:v>3 URL HTTP 200</x:v>
      </x:c>
      <x:c r="D31" s="20" t="str">
        <x:v>Excelクリック・DebugView未確認</x:v>
      </x:c>
      <x:c r="E31" s="20" t="str">
        <x:v>相談、ツアー、無料トライアルの到達性は確認。計測は継続確認</x:v>
      </x:c>
      <x:c r="F31" s="20"/>
      <x:c r="G31" s="20"/>
      <x:c r="H31" s="20"/>
      <x:c r="I31" s="20"/>
      <x:c r="J31" s="20"/>
    </x:row>
    <x:row r="32">
      <x:c r="A32" s="20" t="str">
        <x:v>PASS</x:v>
      </x:c>
      <x:c r="B32" s="20" t="str">
        <x:v>更新責任者</x:v>
      </x:c>
      <x:c r="C32" s="20" t="str">
        <x:v>設定済み</x:v>
      </x:c>
      <x:c r="D32" s="20" t="str">
        <x:v>エネがえる運営事務局</x:v>
      </x:c>
      <x:c r="E32" s="20" t="str">
        <x:v>制度・料金・PVGIS版改定時に見直し</x:v>
      </x:c>
      <x:c r="F32" s="20"/>
      <x:c r="G32" s="20"/>
      <x:c r="H32" s="20"/>
      <x:c r="I32" s="20"/>
      <x:c r="J32" s="20"/>
    </x:row>
    <x:row r="33">
      <x:c r="A33" s="20" t="str">
        <x:v>PASS</x:v>
      </x:c>
      <x:c r="B33" s="20" t="str">
        <x:v>公開実行承認</x:v>
      </x:c>
      <x:c r="C33" s="20" t="str">
        <x:v>例外承認済み</x:v>
      </x:c>
      <x:c r="D33" s="20" t="str">
        <x:v>2026-08-29</x:v>
      </x:c>
      <x:c r="E33" s="20" t="str">
        <x:v>責任者の例外承認に基づき公開。制約を明示して継続管理</x:v>
      </x:c>
      <x:c r="F33" s="20"/>
      <x:c r="G33" s="20"/>
      <x:c r="H33" s="20"/>
      <x:c r="I33" s="20"/>
      <x:c r="J33" s="20"/>
    </x:row>
    <x:row r="34">
      <x:c r="A34" s="527"/>
      <x:c r="B34" s="527"/>
      <x:c r="C34" s="527"/>
      <x:c r="D34" s="527"/>
      <x:c r="E34" s="527"/>
      <x:c r="F34" s="527"/>
      <x:c r="G34" s="527"/>
      <x:c r="H34" s="527"/>
      <x:c r="I34" s="527"/>
      <x:c r="J34" s="527"/>
    </x:row>
    <x:row r="35">
      <x:c r="A35" s="527"/>
      <x:c r="B35" s="527"/>
      <x:c r="C35" s="527"/>
      <x:c r="D35" s="527"/>
      <x:c r="E35" s="527"/>
      <x:c r="F35" s="527"/>
      <x:c r="G35" s="527"/>
      <x:c r="H35" s="527"/>
      <x:c r="I35" s="527"/>
      <x:c r="J35" s="527"/>
    </x:row>
    <x:row r="36">
      <x:c r="A36" s="33" t="str">
        <x:v>回帰方針
・47地点×12か月の形式、欠損、負値、API条件、ハッシュを固定
・標準＝本体を全20年一致
・容量0、需要0、費用0、補助金超過、FIT年4/5/10/11、PCS反転を外部スクリプトでも検証
・成果物SHAをbuilder・データ・監査結果へ結び付ける</x:v>
      </x:c>
      <x:c r="B36" s="34"/>
      <x:c r="C36" s="34"/>
      <x:c r="D36" s="34"/>
      <x:c r="E36" s="34"/>
      <x:c r="F36" s="34"/>
      <x:c r="G36" s="34"/>
      <x:c r="H36" s="34"/>
      <x:c r="I36" s="34"/>
      <x:c r="J36" s="35"/>
    </x:row>
    <x:row r="37">
      <x:c r="A37" s="36"/>
      <x:c r="B37" s="37"/>
      <x:c r="C37" s="37"/>
      <x:c r="D37" s="37"/>
      <x:c r="E37" s="37"/>
      <x:c r="F37" s="37"/>
      <x:c r="G37" s="37"/>
      <x:c r="H37" s="37"/>
      <x:c r="I37" s="37"/>
      <x:c r="J37" s="38"/>
    </x:row>
    <x:row r="38">
      <x:c r="A38" s="36"/>
      <x:c r="B38" s="37"/>
      <x:c r="C38" s="37"/>
      <x:c r="D38" s="37"/>
      <x:c r="E38" s="37"/>
      <x:c r="F38" s="37"/>
      <x:c r="G38" s="37"/>
      <x:c r="H38" s="37"/>
      <x:c r="I38" s="37"/>
      <x:c r="J38" s="38"/>
    </x:row>
    <x:row r="39">
      <x:c r="A39" s="36"/>
      <x:c r="B39" s="37"/>
      <x:c r="C39" s="37"/>
      <x:c r="D39" s="37"/>
      <x:c r="E39" s="37"/>
      <x:c r="F39" s="37"/>
      <x:c r="G39" s="37"/>
      <x:c r="H39" s="37"/>
      <x:c r="I39" s="37"/>
      <x:c r="J39" s="38"/>
    </x:row>
    <x:row r="40">
      <x:c r="A40" s="39"/>
      <x:c r="B40" s="40"/>
      <x:c r="C40" s="40"/>
      <x:c r="D40" s="40"/>
      <x:c r="E40" s="40"/>
      <x:c r="F40" s="40"/>
      <x:c r="G40" s="40"/>
      <x:c r="H40" s="40"/>
      <x:c r="I40" s="40"/>
      <x:c r="J40" s="41"/>
    </x:row>
    <x:row r="41">
      <x:c r="A41" s="527"/>
      <x:c r="B41" s="527"/>
      <x:c r="C41" s="527"/>
      <x:c r="D41" s="527"/>
      <x:c r="E41" s="527"/>
      <x:c r="F41" s="527"/>
      <x:c r="G41" s="527"/>
      <x:c r="H41" s="527"/>
      <x:c r="I41" s="527"/>
      <x:c r="J41" s="527"/>
    </x:row>
    <x:row r="42">
      <x:c r="A42" s="146" t="str">
        <x:v>品質管理方針
・技術QA、変更履歴、成果物ハッシュを継続管理
・更新責任者は制度・料金・PVGIS版改定時に再確認
・Windows版Excel / Excel Web、入力変更後再計算、GA4計測は利用環境別の確認範囲として追跡
・未確認項目を合格扱いにしない</x:v>
      </x:c>
      <x:c r="B42" s="147"/>
      <x:c r="C42" s="147"/>
      <x:c r="D42" s="147"/>
      <x:c r="E42" s="147"/>
      <x:c r="F42" s="147"/>
      <x:c r="G42" s="147"/>
      <x:c r="H42" s="147"/>
      <x:c r="I42" s="147"/>
      <x:c r="J42" s="148"/>
    </x:row>
    <x:row r="43">
      <x:c r="A43" s="149"/>
      <x:c r="B43" s="150"/>
      <x:c r="C43" s="150"/>
      <x:c r="D43" s="150"/>
      <x:c r="E43" s="150"/>
      <x:c r="F43" s="150"/>
      <x:c r="G43" s="150"/>
      <x:c r="H43" s="150"/>
      <x:c r="I43" s="150"/>
      <x:c r="J43" s="151"/>
    </x:row>
    <x:row r="44">
      <x:c r="A44" s="149"/>
      <x:c r="B44" s="150"/>
      <x:c r="C44" s="150"/>
      <x:c r="D44" s="150"/>
      <x:c r="E44" s="150"/>
      <x:c r="F44" s="150"/>
      <x:c r="G44" s="150"/>
      <x:c r="H44" s="150"/>
      <x:c r="I44" s="150"/>
      <x:c r="J44" s="151"/>
    </x:row>
    <x:row r="45">
      <x:c r="A45" s="149"/>
      <x:c r="B45" s="150"/>
      <x:c r="C45" s="150"/>
      <x:c r="D45" s="150"/>
      <x:c r="E45" s="150"/>
      <x:c r="F45" s="150"/>
      <x:c r="G45" s="150"/>
      <x:c r="H45" s="150"/>
      <x:c r="I45" s="150"/>
      <x:c r="J45" s="151"/>
    </x:row>
    <x:row r="46">
      <x:c r="A46" s="152"/>
      <x:c r="B46" s="153"/>
      <x:c r="C46" s="153"/>
      <x:c r="D46" s="153"/>
      <x:c r="E46" s="153"/>
      <x:c r="F46" s="153"/>
      <x:c r="G46" s="153"/>
      <x:c r="H46" s="153"/>
      <x:c r="I46" s="153"/>
      <x:c r="J46" s="154"/>
    </x:row>
  </x:sheetData>
  <x:sheetProtection sheet="1" objects="0" scenarios="1" formatCells="1" formatColumns="1" formatRows="1" insertColumns="1" insertRows="1" insertHyperlinks="1" deleteColumns="1" deleteRows="1" selectLockedCells="0" selectUnlockedCells="0"/>
  <x:mergeCells>
    <x:mergeCell ref="A1:J2"/>
    <x:mergeCell ref="A3:J3"/>
    <x:mergeCell ref="E5:J5"/>
    <x:mergeCell ref="E6:J6"/>
    <x:mergeCell ref="E7:J7"/>
    <x:mergeCell ref="E8:J8"/>
    <x:mergeCell ref="E9:J9"/>
    <x:mergeCell ref="E10:J10"/>
    <x:mergeCell ref="E11:J11"/>
    <x:mergeCell ref="E12:J12"/>
    <x:mergeCell ref="E13:J13"/>
    <x:mergeCell ref="E14:J14"/>
    <x:mergeCell ref="E15:J15"/>
    <x:mergeCell ref="E16:J16"/>
    <x:mergeCell ref="E17:J17"/>
    <x:mergeCell ref="E18:J18"/>
    <x:mergeCell ref="E19:J19"/>
    <x:mergeCell ref="E20:J20"/>
    <x:mergeCell ref="E21:J21"/>
    <x:mergeCell ref="E22:J22"/>
    <x:mergeCell ref="E23:J23"/>
    <x:mergeCell ref="E24:J24"/>
    <x:mergeCell ref="E25:J25"/>
    <x:mergeCell ref="E26:J26"/>
    <x:mergeCell ref="E27:J27"/>
    <x:mergeCell ref="E28:J28"/>
    <x:mergeCell ref="E29:J29"/>
    <x:mergeCell ref="E30:J30"/>
    <x:mergeCell ref="E31:J31"/>
    <x:mergeCell ref="E32:J32"/>
    <x:mergeCell ref="E33:J33"/>
    <x:mergeCell ref="A36:J40"/>
    <x:mergeCell ref="A42:J46"/>
  </x:mergeCells>
  <x:conditionalFormatting sqref="A6:A33">
    <x:cfRule type="containsText" dxfId="0" priority="1" operator="containsText" text="PASS"/>
    <x:cfRule type="containsText" dxfId="1" priority="2" operator="containsText" text="FAIL"/>
    <x:cfRule type="containsText" dxfId="2" priority="3" operator="containsText" text="HOLD"/>
  </x:conditionalFormatting>
  <x:pageMargins left="0.25" right="0.25" top="0.4" bottom="0.4" header="0.2" footer="0.2"/>
  <x:pageSetup paperSize="9" orientation="landscape" fitToWidth="1" fitToHeight="1"/>
</x:worksheet>
</file>

<file path=xl/worksheets/sheet9.xml><?xml version="1.0" encoding="utf-8"?>
<x:worksheet xmlns:x="http://schemas.openxmlformats.org/spreadsheetml/2006/main">
  <x:sheetViews>
    <x:sheetView showGridLines="0" workbookViewId="0"/>
  </x:sheetViews>
  <x:sheetFormatPr defaultRowHeight="15"/>
  <x:cols>
    <x:col min="1" max="1" width="12" hidden="0" customWidth="1"/>
    <x:col min="2" max="2" width="11" hidden="0" customWidth="1"/>
    <x:col min="3" max="3" width="12"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 min="15" max="15" width="10" hidden="0" customWidth="1"/>
    <x:col min="16" max="16" width="10" hidden="0" customWidth="1"/>
    <x:col min="17" max="17" width="10" hidden="0" customWidth="1"/>
    <x:col min="18" max="18" width="10" hidden="0" customWidth="1"/>
    <x:col min="19" max="19" width="10" hidden="0" customWidth="1"/>
    <x:col min="20" max="20" width="10" hidden="0" customWidth="1"/>
    <x:col min="21" max="21" width="10" hidden="0" customWidth="1"/>
    <x:col min="22" max="22" width="10" hidden="0" customWidth="1"/>
    <x:col min="23" max="23" width="10" hidden="0" customWidth="1"/>
    <x:col min="24" max="24" width="10" hidden="0" customWidth="1"/>
    <x:col min="25" max="25" width="10" hidden="0" customWidth="1"/>
    <x:col min="26" max="26" width="10" hidden="0" customWidth="1"/>
    <x:col min="27" max="27" width="10" hidden="0" customWidth="1"/>
    <x:col min="28" max="28" width="10" hidden="0" customWidth="1"/>
    <x:col min="29" max="29" width="10" hidden="0" customWidth="1"/>
    <x:col min="30" max="30" width="10" hidden="0" customWidth="1"/>
    <x:col min="31" max="31" width="10" hidden="0" customWidth="1"/>
    <x:col min="32" max="32" width="68" hidden="0" customWidth="1"/>
    <x:col min="33" max="33" width="34" hidden="0" customWidth="1"/>
    <x:col min="34" max="34" width="22" hidden="0" customWidth="1"/>
    <x:col min="35" max="35" width="20" hidden="0" customWidth="1"/>
    <x:col min="36" max="36" width="70" hidden="0" customWidth="1"/>
  </x:cols>
  <x:sheetData>
    <x:row r="1">
      <x:c r="A1" s="526" t="str">
        <x:v>内部データ｜47都道府県庁等代表・PVGIS-ERA5</x:v>
      </x:c>
      <x:c r="B1" s="526"/>
      <x:c r="C1" s="526"/>
      <x:c r="D1" s="526"/>
      <x:c r="E1" s="526"/>
      <x:c r="F1" s="526"/>
      <x:c r="G1" s="526"/>
      <x:c r="H1" s="526"/>
      <x:c r="I1" s="526"/>
      <x:c r="J1" s="526"/>
      <x:c r="K1" s="526"/>
      <x:c r="L1" s="526"/>
      <x:c r="M1" s="526"/>
      <x:c r="N1" s="526"/>
      <x:c r="O1" s="526"/>
      <x:c r="P1" s="526"/>
      <x:c r="Q1" s="526"/>
      <x:c r="R1" s="526"/>
      <x:c r="S1" s="526"/>
      <x:c r="T1" s="526"/>
      <x:c r="U1" s="526"/>
      <x:c r="V1" s="526"/>
      <x:c r="W1" s="526"/>
      <x:c r="X1" s="526"/>
      <x:c r="Y1" s="526"/>
      <x:c r="Z1" s="526"/>
      <x:c r="AA1" s="526"/>
      <x:c r="AB1" s="526"/>
      <x:c r="AC1" s="526"/>
      <x:c r="AD1" s="526"/>
      <x:c r="AE1" s="526"/>
      <x:c r="AF1" s="526"/>
      <x:c r="AG1" s="526"/>
      <x:c r="AH1" s="526"/>
      <x:c r="AI1" s="526"/>
      <x:c r="AJ1" s="526"/>
    </x:row>
    <x:row r="2">
      <x:c r="A2" s="526"/>
      <x:c r="B2" s="526"/>
      <x:c r="C2" s="526"/>
      <x:c r="D2" s="526"/>
      <x:c r="E2" s="526"/>
      <x:c r="F2" s="526"/>
      <x:c r="G2" s="526"/>
      <x:c r="H2" s="526"/>
      <x:c r="I2" s="526"/>
      <x:c r="J2" s="526"/>
      <x:c r="K2" s="526"/>
      <x:c r="L2" s="526"/>
      <x:c r="M2" s="526"/>
      <x:c r="N2" s="526"/>
      <x:c r="O2" s="526"/>
      <x:c r="P2" s="526"/>
      <x:c r="Q2" s="526"/>
      <x:c r="R2" s="526"/>
      <x:c r="S2" s="526"/>
      <x:c r="T2" s="526"/>
      <x:c r="U2" s="526"/>
      <x:c r="V2" s="526"/>
      <x:c r="W2" s="526"/>
      <x:c r="X2" s="526"/>
      <x:c r="Y2" s="526"/>
      <x:c r="Z2" s="526"/>
      <x:c r="AA2" s="526"/>
      <x:c r="AB2" s="526"/>
      <x:c r="AC2" s="526"/>
      <x:c r="AD2" s="526"/>
      <x:c r="AE2" s="526"/>
      <x:c r="AF2" s="526"/>
      <x:c r="AG2" s="526"/>
      <x:c r="AH2" s="526"/>
      <x:c r="AI2" s="526"/>
      <x:c r="AJ2" s="526"/>
    </x:row>
    <x:row r="3">
      <x:c r="A3" s="52" t="str">
        <x:v>European Commission JRC, PVGIS v5.3 / PVGIS-ERA5（2005–2023）。国土地理院の都道府県庁等注記代表点、南向き・傾斜30°・地平線影響なし。19年の同一暦月を平均。NEDO由来の数値・地点表は収録していません。</x:v>
      </x:c>
      <x:c r="B3" s="53"/>
      <x:c r="C3" s="53"/>
      <x:c r="D3" s="53"/>
      <x:c r="E3" s="53"/>
      <x:c r="F3" s="53"/>
      <x:c r="G3" s="53"/>
      <x:c r="H3" s="53"/>
      <x:c r="I3" s="53"/>
      <x:c r="J3" s="53"/>
      <x:c r="K3" s="53"/>
      <x:c r="L3" s="53"/>
      <x:c r="M3" s="53"/>
      <x:c r="N3" s="53"/>
      <x:c r="O3" s="53"/>
      <x:c r="P3" s="53"/>
      <x:c r="Q3" s="53"/>
      <x:c r="R3" s="53"/>
      <x:c r="S3" s="53"/>
      <x:c r="T3" s="53"/>
      <x:c r="U3" s="53"/>
      <x:c r="V3" s="53"/>
      <x:c r="W3" s="53"/>
      <x:c r="X3" s="53"/>
      <x:c r="Y3" s="53"/>
      <x:c r="Z3" s="53"/>
      <x:c r="AA3" s="53"/>
      <x:c r="AB3" s="53"/>
      <x:c r="AC3" s="53"/>
      <x:c r="AD3" s="53"/>
      <x:c r="AE3" s="53"/>
      <x:c r="AF3" s="53"/>
      <x:c r="AG3" s="53"/>
      <x:c r="AH3" s="53"/>
      <x:c r="AI3" s="53"/>
      <x:c r="AJ3" s="54"/>
    </x:row>
    <x:row r="4">
      <x:c r="A4" s="13" t="str">
        <x:v>都道府県</x:v>
      </x:c>
      <x:c r="B4" s="13" t="str">
        <x:v>都道府県コード</x:v>
      </x:c>
      <x:c r="C4" s="13" t="str">
        <x:v>代表地点</x:v>
      </x:c>
      <x:c r="D4" s="13" t="str">
        <x:v>緯度</x:v>
      </x:c>
      <x:c r="E4" s="13" t="str">
        <x:v>経度</x:v>
      </x:c>
      <x:c r="F4" s="13" t="str">
        <x:v>標高m</x:v>
      </x:c>
      <x:c r="G4" s="13" t="str">
        <x:v>1月POA</x:v>
      </x:c>
      <x:c r="H4" s="13" t="str">
        <x:v>2月POA</x:v>
      </x:c>
      <x:c r="I4" s="13" t="str">
        <x:v>3月POA</x:v>
      </x:c>
      <x:c r="J4" s="13" t="str">
        <x:v>4月POA</x:v>
      </x:c>
      <x:c r="K4" s="13" t="str">
        <x:v>5月POA</x:v>
      </x:c>
      <x:c r="L4" s="13" t="str">
        <x:v>6月POA</x:v>
      </x:c>
      <x:c r="M4" s="13" t="str">
        <x:v>7月POA</x:v>
      </x:c>
      <x:c r="N4" s="13" t="str">
        <x:v>8月POA</x:v>
      </x:c>
      <x:c r="O4" s="13" t="str">
        <x:v>9月POA</x:v>
      </x:c>
      <x:c r="P4" s="13" t="str">
        <x:v>10月POA</x:v>
      </x:c>
      <x:c r="Q4" s="13" t="str">
        <x:v>11月POA</x:v>
      </x:c>
      <x:c r="R4" s="13" t="str">
        <x:v>12月POA</x:v>
      </x:c>
      <x:c r="S4" s="13" t="str">
        <x:v>1月気温</x:v>
      </x:c>
      <x:c r="T4" s="13" t="str">
        <x:v>2月気温</x:v>
      </x:c>
      <x:c r="U4" s="13" t="str">
        <x:v>3月気温</x:v>
      </x:c>
      <x:c r="V4" s="13" t="str">
        <x:v>4月気温</x:v>
      </x:c>
      <x:c r="W4" s="13" t="str">
        <x:v>5月気温</x:v>
      </x:c>
      <x:c r="X4" s="13" t="str">
        <x:v>6月気温</x:v>
      </x:c>
      <x:c r="Y4" s="13" t="str">
        <x:v>7月気温</x:v>
      </x:c>
      <x:c r="Z4" s="13" t="str">
        <x:v>8月気温</x:v>
      </x:c>
      <x:c r="AA4" s="13" t="str">
        <x:v>9月気温</x:v>
      </x:c>
      <x:c r="AB4" s="13" t="str">
        <x:v>10月気温</x:v>
      </x:c>
      <x:c r="AC4" s="13" t="str">
        <x:v>11月気温</x:v>
      </x:c>
      <x:c r="AD4" s="13" t="str">
        <x:v>12月気温</x:v>
      </x:c>
      <x:c r="AE4" s="13" t="str">
        <x:v>年間POA</x:v>
      </x:c>
      <x:c r="AF4" s="13" t="str">
        <x:v>PVGIS API URL</x:v>
      </x:c>
      <x:c r="AG4" s="13" t="str">
        <x:v>応答SHA-256</x:v>
      </x:c>
      <x:c r="AH4" s="13" t="str">
        <x:v>取得日時UTC</x:v>
      </x:c>
      <x:c r="AI4" s="13" t="str">
        <x:v>DB・期間</x:v>
      </x:c>
      <x:c r="AJ4" s="13" t="str">
        <x:v>座標フィーチャURL</x:v>
      </x:c>
    </x:row>
    <x:row r="5">
      <x:c r="A5" s="20" t="str">
        <x:v>北海道</x:v>
      </x:c>
      <x:c r="B5" s="20" t="str">
        <x:v>01</x:v>
      </x:c>
      <x:c r="C5" s="20" t="str">
        <x:v>北海道庁（札幌市）</x:v>
      </x:c>
      <x:c r="D5" s="192" t="n">
        <x:v>43.06432602</x:v>
      </x:c>
      <x:c r="E5" s="192" t="n">
        <x:v>141.34687364</x:v>
      </x:c>
      <x:c r="F5" s="580" t="n">
        <x:v>25</x:v>
      </x:c>
      <x:c r="G5" s="581" t="n">
        <x:v>108.637368</x:v>
      </x:c>
      <x:c r="H5" s="581" t="n">
        <x:v>130.885789</x:v>
      </x:c>
      <x:c r="I5" s="581" t="n">
        <x:v>172.819474</x:v>
      </x:c>
      <x:c r="J5" s="581" t="n">
        <x:v>170.060526</x:v>
      </x:c>
      <x:c r="K5" s="581" t="n">
        <x:v>171.721579</x:v>
      </x:c>
      <x:c r="L5" s="581" t="n">
        <x:v>154.666842</x:v>
      </x:c>
      <x:c r="M5" s="581" t="n">
        <x:v>150.397895</x:v>
      </x:c>
      <x:c r="N5" s="581" t="n">
        <x:v>143.187895</x:v>
      </x:c>
      <x:c r="O5" s="581" t="n">
        <x:v>134.834737</x:v>
      </x:c>
      <x:c r="P5" s="581" t="n">
        <x:v>125.969474</x:v>
      </x:c>
      <x:c r="Q5" s="581" t="n">
        <x:v>91.274737</x:v>
      </x:c>
      <x:c r="R5" s="581" t="n">
        <x:v>86.905789</x:v>
      </x:c>
      <x:c r="S5" s="581" t="n">
        <x:v>-6.615789</x:v>
      </x:c>
      <x:c r="T5" s="581" t="n">
        <x:v>-5.663158</x:v>
      </x:c>
      <x:c r="U5" s="581" t="n">
        <x:v>-1.168421</x:v>
      </x:c>
      <x:c r="V5" s="581" t="n">
        <x:v>4.763158</x:v>
      </x:c>
      <x:c r="W5" s="581" t="n">
        <x:v>11.084211</x:v>
      </x:c>
      <x:c r="X5" s="581" t="n">
        <x:v>15.763158</x:v>
      </x:c>
      <x:c r="Y5" s="581" t="n">
        <x:v>19.810526</x:v>
      </x:c>
      <x:c r="Z5" s="581" t="n">
        <x:v>21</x:v>
      </x:c>
      <x:c r="AA5" s="581" t="n">
        <x:v>17.147368</x:v>
      </x:c>
      <x:c r="AB5" s="581" t="n">
        <x:v>10.3</x:v>
      </x:c>
      <x:c r="AC5" s="581" t="n">
        <x:v>3.505263</x:v>
      </x:c>
      <x:c r="AD5" s="581" t="n">
        <x:v>-3.136842</x:v>
      </x:c>
      <x:c r="AE5" s="563" t="n">
        <x:f>SUM(G5:R5)</x:f>
        <x:v>1641.3621049999997</x:v>
      </x:c>
      <x:c r="AF5" s="20" t="str">
        <x:v>https://re.jrc.ec.europa.eu/api/v5_3/MRcalc?lat=43.064326&amp;lon=141.346874&amp;raddatabase=PVGIS-ERA5&amp;startyear=2005&amp;endyear=2023&amp;selectrad=1&amp;angle=30&amp;aspect=0&amp;avtemp=1&amp;usehorizon=0&amp;outputformat=json</x:v>
      </x:c>
      <x:c r="AG5" s="20" t="str">
        <x:v>c4b150ea22873a420aa4b51bc8f835bde45501850b420fec59777d84a620f209</x:v>
      </x:c>
      <x:c r="AH5" s="582" t="n">
        <x:v>46262.635775462964</x:v>
      </x:c>
      <x:c r="AI5" s="20" t="str">
        <x:v>PVGIS-ERA5 2005-2023</x:v>
      </x:c>
      <x:c r="AJ5" s="20" t="str">
        <x:v>pmtiles://https://cyberjapandata.gsi.go.jp/xyz/optimal_bvmap-v1/optimal_bvmap-v1.pmtiles/14/14624/6016</x:v>
      </x:c>
    </x:row>
    <x:row r="6">
      <x:c r="A6" s="20" t="str">
        <x:v>青森県</x:v>
      </x:c>
      <x:c r="B6" s="20" t="str">
        <x:v>02</x:v>
      </x:c>
      <x:c r="C6" s="20" t="str">
        <x:v>青森県庁（青森市）</x:v>
      </x:c>
      <x:c r="D6" s="192" t="n">
        <x:v>40.8245917</x:v>
      </x:c>
      <x:c r="E6" s="192" t="n">
        <x:v>140.7405442</x:v>
      </x:c>
      <x:c r="F6" s="580" t="n">
        <x:v>12</x:v>
      </x:c>
      <x:c r="G6" s="581" t="n">
        <x:v>105.215789</x:v>
      </x:c>
      <x:c r="H6" s="581" t="n">
        <x:v>122.316316</x:v>
      </x:c>
      <x:c r="I6" s="581" t="n">
        <x:v>162.226316</x:v>
      </x:c>
      <x:c r="J6" s="581" t="n">
        <x:v>167.781053</x:v>
      </x:c>
      <x:c r="K6" s="581" t="n">
        <x:v>171.610526</x:v>
      </x:c>
      <x:c r="L6" s="581" t="n">
        <x:v>155.627895</x:v>
      </x:c>
      <x:c r="M6" s="581" t="n">
        <x:v>142.733684</x:v>
      </x:c>
      <x:c r="N6" s="581" t="n">
        <x:v>144.91</x:v>
      </x:c>
      <x:c r="O6" s="581" t="n">
        <x:v>135.705789</x:v>
      </x:c>
      <x:c r="P6" s="581" t="n">
        <x:v>123.955263</x:v>
      </x:c>
      <x:c r="Q6" s="581" t="n">
        <x:v>90.051579</x:v>
      </x:c>
      <x:c r="R6" s="581" t="n">
        <x:v>89.583684</x:v>
      </x:c>
      <x:c r="S6" s="581" t="n">
        <x:v>-4.242105</x:v>
      </x:c>
      <x:c r="T6" s="581" t="n">
        <x:v>-3.436842</x:v>
      </x:c>
      <x:c r="U6" s="581" t="n">
        <x:v>0.542105</x:v>
      </x:c>
      <x:c r="V6" s="581" t="n">
        <x:v>6.721053</x:v>
      </x:c>
      <x:c r="W6" s="581" t="n">
        <x:v>12.789474</x:v>
      </x:c>
      <x:c r="X6" s="581" t="n">
        <x:v>17.442105</x:v>
      </x:c>
      <x:c r="Y6" s="581" t="n">
        <x:v>21.152632</x:v>
      </x:c>
      <x:c r="Z6" s="581" t="n">
        <x:v>22.415789</x:v>
      </x:c>
      <x:c r="AA6" s="581" t="n">
        <x:v>18.2</x:v>
      </x:c>
      <x:c r="AB6" s="581" t="n">
        <x:v>11.463158</x:v>
      </x:c>
      <x:c r="AC6" s="581" t="n">
        <x:v>5.010526</x:v>
      </x:c>
      <x:c r="AD6" s="581" t="n">
        <x:v>-1.642105</x:v>
      </x:c>
      <x:c r="AE6" s="563" t="n">
        <x:f>SUM(G6:R6)</x:f>
        <x:v>1611.7178940000001</x:v>
      </x:c>
      <x:c r="AF6" s="20" t="str">
        <x:v>https://re.jrc.ec.europa.eu/api/v5_3/MRcalc?lat=40.824592&amp;lon=140.740544&amp;raddatabase=PVGIS-ERA5&amp;startyear=2005&amp;endyear=2023&amp;selectrad=1&amp;angle=30&amp;aspect=0&amp;avtemp=1&amp;usehorizon=0&amp;outputformat=json</x:v>
      </x:c>
      <x:c r="AG6" s="20" t="str">
        <x:v>285f56101ff32b3a64b1c502b88c0b76fb96b3766a19063edfaa5395f9ac4eaf</x:v>
      </x:c>
      <x:c r="AH6" s="582" t="n">
        <x:v>46262.635775462964</x:v>
      </x:c>
      <x:c r="AI6" s="20" t="str">
        <x:v>PVGIS-ERA5 2005-2023</x:v>
      </x:c>
      <x:c r="AJ6" s="20" t="str">
        <x:v>pmtiles://https://cyberjapandata.gsi.go.jp/xyz/optimal_bvmap-v1/optimal_bvmap-v1.pmtiles/14/14597/6153</x:v>
      </x:c>
    </x:row>
    <x:row r="7">
      <x:c r="A7" s="20" t="str">
        <x:v>岩手県</x:v>
      </x:c>
      <x:c r="B7" s="20" t="str">
        <x:v>03</x:v>
      </x:c>
      <x:c r="C7" s="20" t="str">
        <x:v>岩手県庁（盛岡市）</x:v>
      </x:c>
      <x:c r="D7" s="192" t="n">
        <x:v>39.70352595</x:v>
      </x:c>
      <x:c r="E7" s="192" t="n">
        <x:v>141.15269244</x:v>
      </x:c>
      <x:c r="F7" s="580" t="n">
        <x:v>132</x:v>
      </x:c>
      <x:c r="G7" s="581" t="n">
        <x:v>118.283684</x:v>
      </x:c>
      <x:c r="H7" s="581" t="n">
        <x:v>127.875789</x:v>
      </x:c>
      <x:c r="I7" s="581" t="n">
        <x:v>157.061053</x:v>
      </x:c>
      <x:c r="J7" s="581" t="n">
        <x:v>159.475789</x:v>
      </x:c>
      <x:c r="K7" s="581" t="n">
        <x:v>160.418947</x:v>
      </x:c>
      <x:c r="L7" s="581" t="n">
        <x:v>143.883684</x:v>
      </x:c>
      <x:c r="M7" s="581" t="n">
        <x:v>128.685789</x:v>
      </x:c>
      <x:c r="N7" s="581" t="n">
        <x:v>134.595263</x:v>
      </x:c>
      <x:c r="O7" s="581" t="n">
        <x:v>122.781053</x:v>
      </x:c>
      <x:c r="P7" s="581" t="n">
        <x:v>122.047368</x:v>
      </x:c>
      <x:c r="Q7" s="581" t="n">
        <x:v>102.936842</x:v>
      </x:c>
      <x:c r="R7" s="581" t="n">
        <x:v>98.765789</x:v>
      </x:c>
      <x:c r="S7" s="581" t="n">
        <x:v>-4.905263</x:v>
      </x:c>
      <x:c r="T7" s="581" t="n">
        <x:v>-3.978947</x:v>
      </x:c>
      <x:c r="U7" s="581" t="n">
        <x:v>0.668421</x:v>
      </x:c>
      <x:c r="V7" s="581" t="n">
        <x:v>6.652632</x:v>
      </x:c>
      <x:c r="W7" s="581" t="n">
        <x:v>12.836842</x:v>
      </x:c>
      <x:c r="X7" s="581" t="n">
        <x:v>17.426316</x:v>
      </x:c>
      <x:c r="Y7" s="581" t="n">
        <x:v>20.989474</x:v>
      </x:c>
      <x:c r="Z7" s="581" t="n">
        <x:v>22.036842</x:v>
      </x:c>
      <x:c r="AA7" s="581" t="n">
        <x:v>17.631579</x:v>
      </x:c>
      <x:c r="AB7" s="581" t="n">
        <x:v>11.042105</x:v>
      </x:c>
      <x:c r="AC7" s="581" t="n">
        <x:v>4.563158</x:v>
      </x:c>
      <x:c r="AD7" s="581" t="n">
        <x:v>-1.678947</x:v>
      </x:c>
      <x:c r="AE7" s="563" t="n">
        <x:f>SUM(G7:R7)</x:f>
        <x:v>1576.81105</x:v>
      </x:c>
      <x:c r="AF7" s="20" t="str">
        <x:v>https://re.jrc.ec.europa.eu/api/v5_3/MRcalc?lat=39.703526&amp;lon=141.152692&amp;raddatabase=PVGIS-ERA5&amp;startyear=2005&amp;endyear=2023&amp;selectrad=1&amp;angle=30&amp;aspect=0&amp;avtemp=1&amp;usehorizon=0&amp;outputformat=json</x:v>
      </x:c>
      <x:c r="AG7" s="20" t="str">
        <x:v>b425d565eed8b13c7f48d34a7d9be6d4e582e7f0e3d65d74408d4933084d00eb</x:v>
      </x:c>
      <x:c r="AH7" s="582" t="n">
        <x:v>46262.635787037034</x:v>
      </x:c>
      <x:c r="AI7" s="20" t="str">
        <x:v>PVGIS-ERA5 2005-2023</x:v>
      </x:c>
      <x:c r="AJ7" s="20" t="str">
        <x:v>pmtiles://https://cyberjapandata.gsi.go.jp/xyz/optimal_bvmap-v1/optimal_bvmap-v1.pmtiles/14/14616/6220</x:v>
      </x:c>
    </x:row>
    <x:row r="8">
      <x:c r="A8" s="20" t="str">
        <x:v>宮城県</x:v>
      </x:c>
      <x:c r="B8" s="20" t="str">
        <x:v>04</x:v>
      </x:c>
      <x:c r="C8" s="20" t="str">
        <x:v>宮城県庁（仙台市）</x:v>
      </x:c>
      <x:c r="D8" s="192" t="n">
        <x:v>38.26858225</x:v>
      </x:c>
      <x:c r="E8" s="192" t="n">
        <x:v>140.872069</x:v>
      </x:c>
      <x:c r="F8" s="580" t="n">
        <x:v>55</x:v>
      </x:c>
      <x:c r="G8" s="581" t="n">
        <x:v>127.036842</x:v>
      </x:c>
      <x:c r="H8" s="581" t="n">
        <x:v>132.703158</x:v>
      </x:c>
      <x:c r="I8" s="581" t="n">
        <x:v>163.242105</x:v>
      </x:c>
      <x:c r="J8" s="581" t="n">
        <x:v>164.985263</x:v>
      </x:c>
      <x:c r="K8" s="581" t="n">
        <x:v>165.111053</x:v>
      </x:c>
      <x:c r="L8" s="581" t="n">
        <x:v>140.679474</x:v>
      </x:c>
      <x:c r="M8" s="581" t="n">
        <x:v>130.026842</x:v>
      </x:c>
      <x:c r="N8" s="581" t="n">
        <x:v>140.386842</x:v>
      </x:c>
      <x:c r="O8" s="581" t="n">
        <x:v>125.242105</x:v>
      </x:c>
      <x:c r="P8" s="581" t="n">
        <x:v>125.368947</x:v>
      </x:c>
      <x:c r="Q8" s="581" t="n">
        <x:v>114.511579</x:v>
      </x:c>
      <x:c r="R8" s="581" t="n">
        <x:v>111.238421</x:v>
      </x:c>
      <x:c r="S8" s="581" t="n">
        <x:v>1.526316</x:v>
      </x:c>
      <x:c r="T8" s="581" t="n">
        <x:v>2.121053</x:v>
      </x:c>
      <x:c r="U8" s="581" t="n">
        <x:v>5.463158</x:v>
      </x:c>
      <x:c r="V8" s="581" t="n">
        <x:v>10</x:v>
      </x:c>
      <x:c r="W8" s="581" t="n">
        <x:v>14.894737</x:v>
      </x:c>
      <x:c r="X8" s="581" t="n">
        <x:v>18.868421</x:v>
      </x:c>
      <x:c r="Y8" s="581" t="n">
        <x:v>22.621053</x:v>
      </x:c>
      <x:c r="Z8" s="581" t="n">
        <x:v>24.242105</x:v>
      </x:c>
      <x:c r="AA8" s="581" t="n">
        <x:v>20.9</x:v>
      </x:c>
      <x:c r="AB8" s="581" t="n">
        <x:v>15.342105</x:v>
      </x:c>
      <x:c r="AC8" s="581" t="n">
        <x:v>9.563158</x:v>
      </x:c>
      <x:c r="AD8" s="581" t="n">
        <x:v>4.221053</x:v>
      </x:c>
      <x:c r="AE8" s="563" t="n">
        <x:f>SUM(G8:R8)</x:f>
        <x:v>1640.532631</x:v>
      </x:c>
      <x:c r="AF8" s="20" t="str">
        <x:v>https://re.jrc.ec.europa.eu/api/v5_3/MRcalc?lat=38.268582&amp;lon=140.872069&amp;raddatabase=PVGIS-ERA5&amp;startyear=2005&amp;endyear=2023&amp;selectrad=1&amp;angle=30&amp;aspect=0&amp;avtemp=1&amp;usehorizon=0&amp;outputformat=json</x:v>
      </x:c>
      <x:c r="AG8" s="20" t="str">
        <x:v>8317928e7ba0f7d2e3f9f133e33b4a1b2c59e6551b7505d67070ad45fe264445</x:v>
      </x:c>
      <x:c r="AH8" s="582" t="n">
        <x:v>46262.635787037034</x:v>
      </x:c>
      <x:c r="AI8" s="20" t="str">
        <x:v>PVGIS-ERA5 2005-2023</x:v>
      </x:c>
      <x:c r="AJ8" s="20" t="str">
        <x:v>pmtiles://https://cyberjapandata.gsi.go.jp/xyz/optimal_bvmap-v1/optimal_bvmap-v1.pmtiles/14/14603/6304</x:v>
      </x:c>
    </x:row>
    <x:row r="9">
      <x:c r="A9" s="20" t="str">
        <x:v>秋田県</x:v>
      </x:c>
      <x:c r="B9" s="20" t="str">
        <x:v>05</x:v>
      </x:c>
      <x:c r="C9" s="20" t="str">
        <x:v>秋田県庁（秋田市）</x:v>
      </x:c>
      <x:c r="D9" s="192" t="n">
        <x:v>39.71862974</x:v>
      </x:c>
      <x:c r="E9" s="192" t="n">
        <x:v>140.10237694</x:v>
      </x:c>
      <x:c r="F9" s="580" t="n">
        <x:v>13</x:v>
      </x:c>
      <x:c r="G9" s="581" t="n">
        <x:v>95.911053</x:v>
      </x:c>
      <x:c r="H9" s="581" t="n">
        <x:v>111.301053</x:v>
      </x:c>
      <x:c r="I9" s="581" t="n">
        <x:v>150.099474</x:v>
      </x:c>
      <x:c r="J9" s="581" t="n">
        <x:v>163.034211</x:v>
      </x:c>
      <x:c r="K9" s="581" t="n">
        <x:v>169.923684</x:v>
      </x:c>
      <x:c r="L9" s="581" t="n">
        <x:v>160.925263</x:v>
      </x:c>
      <x:c r="M9" s="581" t="n">
        <x:v>147.053158</x:v>
      </x:c>
      <x:c r="N9" s="581" t="n">
        <x:v>153.791053</x:v>
      </x:c>
      <x:c r="O9" s="581" t="n">
        <x:v>137.641579</x:v>
      </x:c>
      <x:c r="P9" s="581" t="n">
        <x:v>124.700526</x:v>
      </x:c>
      <x:c r="Q9" s="581" t="n">
        <x:v>89.434737</x:v>
      </x:c>
      <x:c r="R9" s="581" t="n">
        <x:v>76.996842</x:v>
      </x:c>
      <x:c r="S9" s="581" t="n">
        <x:v>-1.178947</x:v>
      </x:c>
      <x:c r="T9" s="581" t="n">
        <x:v>-0.594737</x:v>
      </x:c>
      <x:c r="U9" s="581" t="n">
        <x:v>3.284211</x:v>
      </x:c>
      <x:c r="V9" s="581" t="n">
        <x:v>8.526316</x:v>
      </x:c>
      <x:c r="W9" s="581" t="n">
        <x:v>13.994737</x:v>
      </x:c>
      <x:c r="X9" s="581" t="n">
        <x:v>18.742105</x:v>
      </x:c>
      <x:c r="Y9" s="581" t="n">
        <x:v>22.484211</x:v>
      </x:c>
      <x:c r="Z9" s="581" t="n">
        <x:v>23.921053</x:v>
      </x:c>
      <x:c r="AA9" s="581" t="n">
        <x:v>19.915789</x:v>
      </x:c>
      <x:c r="AB9" s="581" t="n">
        <x:v>13.6</x:v>
      </x:c>
      <x:c r="AC9" s="581" t="n">
        <x:v>7.531579</x:v>
      </x:c>
      <x:c r="AD9" s="581" t="n">
        <x:v>1.568421</x:v>
      </x:c>
      <x:c r="AE9" s="563" t="n">
        <x:f>SUM(G9:R9)</x:f>
        <x:v>1580.812633</x:v>
      </x:c>
      <x:c r="AF9" s="20" t="str">
        <x:v>https://re.jrc.ec.europa.eu/api/v5_3/MRcalc?lat=39.718630&amp;lon=140.102377&amp;raddatabase=PVGIS-ERA5&amp;startyear=2005&amp;endyear=2023&amp;selectrad=1&amp;angle=30&amp;aspect=0&amp;avtemp=1&amp;usehorizon=0&amp;outputformat=json</x:v>
      </x:c>
      <x:c r="AG9" s="20" t="str">
        <x:v>218666c3c20807d5caaea3364fcb8fa1d60b77afcb95e993a52a25e028e47d08</x:v>
      </x:c>
      <x:c r="AH9" s="582" t="n">
        <x:v>46262.635787037034</x:v>
      </x:c>
      <x:c r="AI9" s="20" t="str">
        <x:v>PVGIS-ERA5 2005-2023</x:v>
      </x:c>
      <x:c r="AJ9" s="20" t="str">
        <x:v>pmtiles://https://cyberjapandata.gsi.go.jp/xyz/optimal_bvmap-v1/optimal_bvmap-v1.pmtiles/14/14568/6219</x:v>
      </x:c>
    </x:row>
    <x:row r="10">
      <x:c r="A10" s="20" t="str">
        <x:v>山形県</x:v>
      </x:c>
      <x:c r="B10" s="20" t="str">
        <x:v>06</x:v>
      </x:c>
      <x:c r="C10" s="20" t="str">
        <x:v>山形県庁（山形市）</x:v>
      </x:c>
      <x:c r="D10" s="192" t="n">
        <x:v>38.24043428</x:v>
      </x:c>
      <x:c r="E10" s="192" t="n">
        <x:v>140.36368847</x:v>
      </x:c>
      <x:c r="F10" s="580" t="n">
        <x:v>210</x:v>
      </x:c>
      <x:c r="G10" s="581" t="n">
        <x:v>118.943158</x:v>
      </x:c>
      <x:c r="H10" s="581" t="n">
        <x:v>126.777895</x:v>
      </x:c>
      <x:c r="I10" s="581" t="n">
        <x:v>157.166316</x:v>
      </x:c>
      <x:c r="J10" s="581" t="n">
        <x:v>160.534737</x:v>
      </x:c>
      <x:c r="K10" s="581" t="n">
        <x:v>163.566842</x:v>
      </x:c>
      <x:c r="L10" s="581" t="n">
        <x:v>139.228947</x:v>
      </x:c>
      <x:c r="M10" s="581" t="n">
        <x:v>126.645789</x:v>
      </x:c>
      <x:c r="N10" s="581" t="n">
        <x:v>138.135789</x:v>
      </x:c>
      <x:c r="O10" s="581" t="n">
        <x:v>121.271053</x:v>
      </x:c>
      <x:c r="P10" s="581" t="n">
        <x:v>118.359474</x:v>
      </x:c>
      <x:c r="Q10" s="581" t="n">
        <x:v>105.212632</x:v>
      </x:c>
      <x:c r="R10" s="581" t="n">
        <x:v>102.574211</x:v>
      </x:c>
      <x:c r="S10" s="581" t="n">
        <x:v>-4.910526</x:v>
      </x:c>
      <x:c r="T10" s="581" t="n">
        <x:v>-3.873684</x:v>
      </x:c>
      <x:c r="U10" s="581" t="n">
        <x:v>0.152632</x:v>
      </x:c>
      <x:c r="V10" s="581" t="n">
        <x:v>5.894737</x:v>
      </x:c>
      <x:c r="W10" s="581" t="n">
        <x:v>12.126316</x:v>
      </x:c>
      <x:c r="X10" s="581" t="n">
        <x:v>16.594737</x:v>
      </x:c>
      <x:c r="Y10" s="581" t="n">
        <x:v>20.257895</x:v>
      </x:c>
      <x:c r="Z10" s="581" t="n">
        <x:v>21.4</x:v>
      </x:c>
      <x:c r="AA10" s="581" t="n">
        <x:v>17.2</x:v>
      </x:c>
      <x:c r="AB10" s="581" t="n">
        <x:v>10.568421</x:v>
      </x:c>
      <x:c r="AC10" s="581" t="n">
        <x:v>4.215789</x:v>
      </x:c>
      <x:c r="AD10" s="581" t="n">
        <x:v>-1.794737</x:v>
      </x:c>
      <x:c r="AE10" s="563" t="n">
        <x:f>SUM(G10:R10)</x:f>
        <x:v>1578.4168430000002</x:v>
      </x:c>
      <x:c r="AF10" s="20" t="str">
        <x:v>https://re.jrc.ec.europa.eu/api/v5_3/MRcalc?lat=38.240434&amp;lon=140.363688&amp;raddatabase=PVGIS-ERA5&amp;startyear=2005&amp;endyear=2023&amp;selectrad=1&amp;angle=30&amp;aspect=0&amp;avtemp=1&amp;usehorizon=0&amp;outputformat=json</x:v>
      </x:c>
      <x:c r="AG10" s="20" t="str">
        <x:v>350ea8303d24570367a8bf3c9d35131986eb2be60034868febbfb34274e5c6f1</x:v>
      </x:c>
      <x:c r="AH10" s="582" t="n">
        <x:v>46262.63594907407</x:v>
      </x:c>
      <x:c r="AI10" s="20" t="str">
        <x:v>PVGIS-ERA5 2005-2023</x:v>
      </x:c>
      <x:c r="AJ10" s="20" t="str">
        <x:v>pmtiles://https://cyberjapandata.gsi.go.jp/xyz/optimal_bvmap-v1/optimal_bvmap-v1.pmtiles/14/14580/6305</x:v>
      </x:c>
    </x:row>
    <x:row r="11">
      <x:c r="A11" s="20" t="str">
        <x:v>福島県</x:v>
      </x:c>
      <x:c r="B11" s="20" t="str">
        <x:v>07</x:v>
      </x:c>
      <x:c r="C11" s="20" t="str">
        <x:v>福島県庁（福島市）</x:v>
      </x:c>
      <x:c r="D11" s="192" t="n">
        <x:v>37.75003141</x:v>
      </x:c>
      <x:c r="E11" s="192" t="n">
        <x:v>140.46776891</x:v>
      </x:c>
      <x:c r="F11" s="580" t="n">
        <x:v>68</x:v>
      </x:c>
      <x:c r="G11" s="581" t="n">
        <x:v>124.226842</x:v>
      </x:c>
      <x:c r="H11" s="581" t="n">
        <x:v>131.016842</x:v>
      </x:c>
      <x:c r="I11" s="581" t="n">
        <x:v>159.484211</x:v>
      </x:c>
      <x:c r="J11" s="581" t="n">
        <x:v>160.727895</x:v>
      </x:c>
      <x:c r="K11" s="581" t="n">
        <x:v>163.939474</x:v>
      </x:c>
      <x:c r="L11" s="581" t="n">
        <x:v>139.207895</x:v>
      </x:c>
      <x:c r="M11" s="581" t="n">
        <x:v>128.002632</x:v>
      </x:c>
      <x:c r="N11" s="581" t="n">
        <x:v>140.007368</x:v>
      </x:c>
      <x:c r="O11" s="581" t="n">
        <x:v>121.063684</x:v>
      </x:c>
      <x:c r="P11" s="581" t="n">
        <x:v>117.852105</x:v>
      </x:c>
      <x:c r="Q11" s="581" t="n">
        <x:v>107.136842</x:v>
      </x:c>
      <x:c r="R11" s="581" t="n">
        <x:v>107.322632</x:v>
      </x:c>
      <x:c r="S11" s="581" t="n">
        <x:v>-0.442105</x:v>
      </x:c>
      <x:c r="T11" s="581" t="n">
        <x:v>0.6</x:v>
      </x:c>
      <x:c r="U11" s="581" t="n">
        <x:v>4.647368</x:v>
      </x:c>
      <x:c r="V11" s="581" t="n">
        <x:v>10.052632</x:v>
      </x:c>
      <x:c r="W11" s="581" t="n">
        <x:v>15.563158</x:v>
      </x:c>
      <x:c r="X11" s="581" t="n">
        <x:v>19.610526</x:v>
      </x:c>
      <x:c r="Y11" s="581" t="n">
        <x:v>23.168421</x:v>
      </x:c>
      <x:c r="Z11" s="581" t="n">
        <x:v>24.357895</x:v>
      </x:c>
      <x:c r="AA11" s="581" t="n">
        <x:v>20.147368</x:v>
      </x:c>
      <x:c r="AB11" s="581" t="n">
        <x:v>14.089474</x:v>
      </x:c>
      <x:c r="AC11" s="581" t="n">
        <x:v>7.989474</x:v>
      </x:c>
      <x:c r="AD11" s="581" t="n">
        <x:v>2.442105</x:v>
      </x:c>
      <x:c r="AE11" s="563" t="n">
        <x:f>SUM(G11:R11)</x:f>
        <x:v>1599.988422</x:v>
      </x:c>
      <x:c r="AF11" s="20" t="str">
        <x:v>https://re.jrc.ec.europa.eu/api/v5_3/MRcalc?lat=37.750031&amp;lon=140.467769&amp;raddatabase=PVGIS-ERA5&amp;startyear=2005&amp;endyear=2023&amp;selectrad=1&amp;angle=30&amp;aspect=0&amp;avtemp=1&amp;usehorizon=0&amp;outputformat=json</x:v>
      </x:c>
      <x:c r="AG11" s="20" t="str">
        <x:v>67ca209c74ae56127e2c7a3e49461a29da63ea425d45aa95b069da1dd9a8935d</x:v>
      </x:c>
      <x:c r="AH11" s="582" t="n">
        <x:v>46262.63596064815</x:v>
      </x:c>
      <x:c r="AI11" s="20" t="str">
        <x:v>PVGIS-ERA5 2005-2023</x:v>
      </x:c>
      <x:c r="AJ11" s="20" t="str">
        <x:v>pmtiles://https://cyberjapandata.gsi.go.jp/xyz/optimal_bvmap-v1/optimal_bvmap-v1.pmtiles/14/14584/6334</x:v>
      </x:c>
    </x:row>
    <x:row r="12">
      <x:c r="A12" s="20" t="str">
        <x:v>茨城県</x:v>
      </x:c>
      <x:c r="B12" s="20" t="str">
        <x:v>08</x:v>
      </x:c>
      <x:c r="C12" s="20" t="str">
        <x:v>茨城県庁（水戸市）</x:v>
      </x:c>
      <x:c r="D12" s="192" t="n">
        <x:v>36.34173854</x:v>
      </x:c>
      <x:c r="E12" s="192" t="n">
        <x:v>140.44682086</x:v>
      </x:c>
      <x:c r="F12" s="580" t="n">
        <x:v>32</x:v>
      </x:c>
      <x:c r="G12" s="581" t="n">
        <x:v>140.681579</x:v>
      </x:c>
      <x:c r="H12" s="581" t="n">
        <x:v>135.979474</x:v>
      </x:c>
      <x:c r="I12" s="581" t="n">
        <x:v>159.927368</x:v>
      </x:c>
      <x:c r="J12" s="581" t="n">
        <x:v>160.032105</x:v>
      </x:c>
      <x:c r="K12" s="581" t="n">
        <x:v>163.694211</x:v>
      </x:c>
      <x:c r="L12" s="581" t="n">
        <x:v>141.413158</x:v>
      </x:c>
      <x:c r="M12" s="581" t="n">
        <x:v>144.979474</x:v>
      </x:c>
      <x:c r="N12" s="581" t="n">
        <x:v>160.775263</x:v>
      </x:c>
      <x:c r="O12" s="581" t="n">
        <x:v>135.045263</x:v>
      </x:c>
      <x:c r="P12" s="581" t="n">
        <x:v>123.434737</x:v>
      </x:c>
      <x:c r="Q12" s="581" t="n">
        <x:v>116.140526</x:v>
      </x:c>
      <x:c r="R12" s="581" t="n">
        <x:v>123.356842</x:v>
      </x:c>
      <x:c r="S12" s="581" t="n">
        <x:v>4.742105</x:v>
      </x:c>
      <x:c r="T12" s="581" t="n">
        <x:v>5.536842</x:v>
      </x:c>
      <x:c r="U12" s="581" t="n">
        <x:v>8.731579</x:v>
      </x:c>
      <x:c r="V12" s="581" t="n">
        <x:v>12.815789</x:v>
      </x:c>
      <x:c r="W12" s="581" t="n">
        <x:v>17.194737</x:v>
      </x:c>
      <x:c r="X12" s="581" t="n">
        <x:v>20.542105</x:v>
      </x:c>
      <x:c r="Y12" s="581" t="n">
        <x:v>24.1</x:v>
      </x:c>
      <x:c r="Z12" s="581" t="n">
        <x:v>25.605263</x:v>
      </x:c>
      <x:c r="AA12" s="581" t="n">
        <x:v>22.605263</x:v>
      </x:c>
      <x:c r="AB12" s="581" t="n">
        <x:v>17.563158</x:v>
      </x:c>
      <x:c r="AC12" s="581" t="n">
        <x:v>12.484211</x:v>
      </x:c>
      <x:c r="AD12" s="581" t="n">
        <x:v>7.194737</x:v>
      </x:c>
      <x:c r="AE12" s="563" t="n">
        <x:f>SUM(G12:R12)</x:f>
        <x:v>1705.4599999999998</x:v>
      </x:c>
      <x:c r="AF12" s="20" t="str">
        <x:v>https://re.jrc.ec.europa.eu/api/v5_3/MRcalc?lat=36.341739&amp;lon=140.446821&amp;raddatabase=PVGIS-ERA5&amp;startyear=2005&amp;endyear=2023&amp;selectrad=1&amp;angle=30&amp;aspect=0&amp;avtemp=1&amp;usehorizon=0&amp;outputformat=json</x:v>
      </x:c>
      <x:c r="AG12" s="20" t="str">
        <x:v>8c497d3f346cd5e3cefed0f37a5888967ad9e7753dabfaf174804196c8e88cfa</x:v>
      </x:c>
      <x:c r="AH12" s="582" t="n">
        <x:v>46262.63596064815</x:v>
      </x:c>
      <x:c r="AI12" s="20" t="str">
        <x:v>PVGIS-ERA5 2005-2023</x:v>
      </x:c>
      <x:c r="AJ12" s="20" t="str">
        <x:v>pmtiles://https://cyberjapandata.gsi.go.jp/xyz/optimal_bvmap-v1/optimal_bvmap-v1.pmtiles/14/14583/6414</x:v>
      </x:c>
    </x:row>
    <x:row r="13">
      <x:c r="A13" s="20" t="str">
        <x:v>栃木県</x:v>
      </x:c>
      <x:c r="B13" s="20" t="str">
        <x:v>09</x:v>
      </x:c>
      <x:c r="C13" s="20" t="str">
        <x:v>栃木県庁（宇都宮市）</x:v>
      </x:c>
      <x:c r="D13" s="192" t="n">
        <x:v>36.56591338</x:v>
      </x:c>
      <x:c r="E13" s="192" t="n">
        <x:v>139.88358915</x:v>
      </x:c>
      <x:c r="F13" s="580" t="n">
        <x:v>129</x:v>
      </x:c>
      <x:c r="G13" s="581" t="n">
        <x:v>141.891053</x:v>
      </x:c>
      <x:c r="H13" s="581" t="n">
        <x:v>138.997368</x:v>
      </x:c>
      <x:c r="I13" s="581" t="n">
        <x:v>160.361053</x:v>
      </x:c>
      <x:c r="J13" s="581" t="n">
        <x:v>154.944737</x:v>
      </x:c>
      <x:c r="K13" s="581" t="n">
        <x:v>156.1</x:v>
      </x:c>
      <x:c r="L13" s="581" t="n">
        <x:v>128.801579</x:v>
      </x:c>
      <x:c r="M13" s="581" t="n">
        <x:v>127.118421</x:v>
      </x:c>
      <x:c r="N13" s="581" t="n">
        <x:v>140.776842</x:v>
      </x:c>
      <x:c r="O13" s="581" t="n">
        <x:v>121.103158</x:v>
      </x:c>
      <x:c r="P13" s="581" t="n">
        <x:v>118.178947</x:v>
      </x:c>
      <x:c r="Q13" s="581" t="n">
        <x:v>115.839474</x:v>
      </x:c>
      <x:c r="R13" s="581" t="n">
        <x:v>124.997895</x:v>
      </x:c>
      <x:c r="S13" s="581" t="n">
        <x:v>1.978947</x:v>
      </x:c>
      <x:c r="T13" s="581" t="n">
        <x:v>3.184211</x:v>
      </x:c>
      <x:c r="U13" s="581" t="n">
        <x:v>6.952632</x:v>
      </x:c>
      <x:c r="V13" s="581" t="n">
        <x:v>11.736842</x:v>
      </x:c>
      <x:c r="W13" s="581" t="n">
        <x:v>16.842105</x:v>
      </x:c>
      <x:c r="X13" s="581" t="n">
        <x:v>20.515789</x:v>
      </x:c>
      <x:c r="Y13" s="581" t="n">
        <x:v>24.115789</x:v>
      </x:c>
      <x:c r="Z13" s="581" t="n">
        <x:v>25.257895</x:v>
      </x:c>
      <x:c r="AA13" s="581" t="n">
        <x:v>21.452632</x:v>
      </x:c>
      <x:c r="AB13" s="581" t="n">
        <x:v>15.494737</x:v>
      </x:c>
      <x:c r="AC13" s="581" t="n">
        <x:v>9.526316</x:v>
      </x:c>
      <x:c r="AD13" s="581" t="n">
        <x:v>4.021053</x:v>
      </x:c>
      <x:c r="AE13" s="563" t="n">
        <x:f>SUM(G13:R13)</x:f>
        <x:v>1629.1105269999998</x:v>
      </x:c>
      <x:c r="AF13" s="20" t="str">
        <x:v>https://re.jrc.ec.europa.eu/api/v5_3/MRcalc?lat=36.565913&amp;lon=139.883589&amp;raddatabase=PVGIS-ERA5&amp;startyear=2005&amp;endyear=2023&amp;selectrad=1&amp;angle=30&amp;aspect=0&amp;avtemp=1&amp;usehorizon=0&amp;outputformat=json</x:v>
      </x:c>
      <x:c r="AG13" s="20" t="str">
        <x:v>54e759bf845e8ff68e88dc554d9464eb5c9d9f11568e67b22e7f93175788d87a</x:v>
      </x:c>
      <x:c r="AH13" s="582" t="n">
        <x:v>46262.63596064815</x:v>
      </x:c>
      <x:c r="AI13" s="20" t="str">
        <x:v>PVGIS-ERA5 2005-2023</x:v>
      </x:c>
      <x:c r="AJ13" s="20" t="str">
        <x:v>pmtiles://https://cyberjapandata.gsi.go.jp/xyz/optimal_bvmap-v1/optimal_bvmap-v1.pmtiles/14/14558/6401</x:v>
      </x:c>
    </x:row>
    <x:row r="14">
      <x:c r="A14" s="20" t="str">
        <x:v>群馬県</x:v>
      </x:c>
      <x:c r="B14" s="20" t="str">
        <x:v>10</x:v>
      </x:c>
      <x:c r="C14" s="20" t="str">
        <x:v>群馬県庁（前橋市）</x:v>
      </x:c>
      <x:c r="D14" s="192" t="n">
        <x:v>36.39068896</x:v>
      </x:c>
      <x:c r="E14" s="192" t="n">
        <x:v>139.06045139</x:v>
      </x:c>
      <x:c r="F14" s="580" t="n">
        <x:v>115</x:v>
      </x:c>
      <x:c r="G14" s="581" t="n">
        <x:v>140.461053</x:v>
      </x:c>
      <x:c r="H14" s="581" t="n">
        <x:v>141.252632</x:v>
      </x:c>
      <x:c r="I14" s="581" t="n">
        <x:v>163.388421</x:v>
      </x:c>
      <x:c r="J14" s="581" t="n">
        <x:v>159.239474</x:v>
      </x:c>
      <x:c r="K14" s="581" t="n">
        <x:v>159.390526</x:v>
      </x:c>
      <x:c r="L14" s="581" t="n">
        <x:v>129.441053</x:v>
      </x:c>
      <x:c r="M14" s="581" t="n">
        <x:v>128.241053</x:v>
      </x:c>
      <x:c r="N14" s="581" t="n">
        <x:v>142.161579</x:v>
      </x:c>
      <x:c r="O14" s="581" t="n">
        <x:v>121.832105</x:v>
      </x:c>
      <x:c r="P14" s="581" t="n">
        <x:v>121.058421</x:v>
      </x:c>
      <x:c r="Q14" s="581" t="n">
        <x:v>119.551053</x:v>
      </x:c>
      <x:c r="R14" s="581" t="n">
        <x:v>126.156842</x:v>
      </x:c>
      <x:c r="S14" s="581" t="n">
        <x:v>2.494737</x:v>
      </x:c>
      <x:c r="T14" s="581" t="n">
        <x:v>3.484211</x:v>
      </x:c>
      <x:c r="U14" s="581" t="n">
        <x:v>7.231579</x:v>
      </x:c>
      <x:c r="V14" s="581" t="n">
        <x:v>11.978947</x:v>
      </x:c>
      <x:c r="W14" s="581" t="n">
        <x:v>16.957895</x:v>
      </x:c>
      <x:c r="X14" s="581" t="n">
        <x:v>20.473684</x:v>
      </x:c>
      <x:c r="Y14" s="581" t="n">
        <x:v>24.042105</x:v>
      </x:c>
      <x:c r="Z14" s="581" t="n">
        <x:v>25.052632</x:v>
      </x:c>
      <x:c r="AA14" s="581" t="n">
        <x:v>21.215789</x:v>
      </x:c>
      <x:c r="AB14" s="581" t="n">
        <x:v>15.426316</x:v>
      </x:c>
      <x:c r="AC14" s="581" t="n">
        <x:v>9.784211</x:v>
      </x:c>
      <x:c r="AD14" s="581" t="n">
        <x:v>4.757895</x:v>
      </x:c>
      <x:c r="AE14" s="563" t="n">
        <x:f>SUM(G14:R14)</x:f>
        <x:v>1652.174212</x:v>
      </x:c>
      <x:c r="AF14" s="20" t="str">
        <x:v>https://re.jrc.ec.europa.eu/api/v5_3/MRcalc?lat=36.390689&amp;lon=139.060451&amp;raddatabase=PVGIS-ERA5&amp;startyear=2005&amp;endyear=2023&amp;selectrad=1&amp;angle=30&amp;aspect=0&amp;avtemp=1&amp;usehorizon=0&amp;outputformat=json</x:v>
      </x:c>
      <x:c r="AG14" s="20" t="str">
        <x:v>a9b6713ce34cf6ce9840f468b997a851079048d033fad90275618e1baf861bcd</x:v>
      </x:c>
      <x:c r="AH14" s="582" t="n">
        <x:v>46262.63596064815</x:v>
      </x:c>
      <x:c r="AI14" s="20" t="str">
        <x:v>PVGIS-ERA5 2005-2023</x:v>
      </x:c>
      <x:c r="AJ14" s="20" t="str">
        <x:v>pmtiles://https://cyberjapandata.gsi.go.jp/xyz/optimal_bvmap-v1/optimal_bvmap-v1.pmtiles/14/14520/6411</x:v>
      </x:c>
    </x:row>
    <x:row r="15">
      <x:c r="A15" s="20" t="str">
        <x:v>埼玉県</x:v>
      </x:c>
      <x:c r="B15" s="20" t="str">
        <x:v>11</x:v>
      </x:c>
      <x:c r="C15" s="20" t="str">
        <x:v>埼玉県庁（さいたま市）</x:v>
      </x:c>
      <x:c r="D15" s="192" t="n">
        <x:v>35.8570353</x:v>
      </x:c>
      <x:c r="E15" s="192" t="n">
        <x:v>139.64900851</x:v>
      </x:c>
      <x:c r="F15" s="580" t="n">
        <x:v>19</x:v>
      </x:c>
      <x:c r="G15" s="581" t="n">
        <x:v>138.544737</x:v>
      </x:c>
      <x:c r="H15" s="581" t="n">
        <x:v>131.676316</x:v>
      </x:c>
      <x:c r="I15" s="581" t="n">
        <x:v>152.299474</x:v>
      </x:c>
      <x:c r="J15" s="581" t="n">
        <x:v>152.646842</x:v>
      </x:c>
      <x:c r="K15" s="581" t="n">
        <x:v>155.152632</x:v>
      </x:c>
      <x:c r="L15" s="581" t="n">
        <x:v>127.327895</x:v>
      </x:c>
      <x:c r="M15" s="581" t="n">
        <x:v>134.542105</x:v>
      </x:c>
      <x:c r="N15" s="581" t="n">
        <x:v>150.134211</x:v>
      </x:c>
      <x:c r="O15" s="581" t="n">
        <x:v>122.879474</x:v>
      </x:c>
      <x:c r="P15" s="581" t="n">
        <x:v>115.163158</x:v>
      </x:c>
      <x:c r="Q15" s="581" t="n">
        <x:v>112.187895</x:v>
      </x:c>
      <x:c r="R15" s="581" t="n">
        <x:v>122.434737</x:v>
      </x:c>
      <x:c r="S15" s="581" t="n">
        <x:v>3.315789</x:v>
      </x:c>
      <x:c r="T15" s="581" t="n">
        <x:v>4.678947</x:v>
      </x:c>
      <x:c r="U15" s="581" t="n">
        <x:v>8.605263</x:v>
      </x:c>
      <x:c r="V15" s="581" t="n">
        <x:v>13.342105</x:v>
      </x:c>
      <x:c r="W15" s="581" t="n">
        <x:v>18.321053</x:v>
      </x:c>
      <x:c r="X15" s="581" t="n">
        <x:v>21.815789</x:v>
      </x:c>
      <x:c r="Y15" s="581" t="n">
        <x:v>25.515789</x:v>
      </x:c>
      <x:c r="Z15" s="581" t="n">
        <x:v>26.794737</x:v>
      </x:c>
      <x:c r="AA15" s="581" t="n">
        <x:v>22.905263</x:v>
      </x:c>
      <x:c r="AB15" s="581" t="n">
        <x:v>17.078947</x:v>
      </x:c>
      <x:c r="AC15" s="581" t="n">
        <x:v>11.357895</x:v>
      </x:c>
      <x:c r="AD15" s="581" t="n">
        <x:v>5.731579</x:v>
      </x:c>
      <x:c r="AE15" s="563" t="n">
        <x:f>SUM(G15:R15)</x:f>
        <x:v>1614.9894760000002</x:v>
      </x:c>
      <x:c r="AF15" s="20" t="str">
        <x:v>https://re.jrc.ec.europa.eu/api/v5_3/MRcalc?lat=35.857035&amp;lon=139.649009&amp;raddatabase=PVGIS-ERA5&amp;startyear=2005&amp;endyear=2023&amp;selectrad=1&amp;angle=30&amp;aspect=0&amp;avtemp=1&amp;usehorizon=0&amp;outputformat=json</x:v>
      </x:c>
      <x:c r="AG15" s="20" t="str">
        <x:v>887a94051efa89ab81098a1f4de5bf6aceafec0a1f9d7aba9f38fc035b1e1e38</x:v>
      </x:c>
      <x:c r="AH15" s="582" t="n">
        <x:v>46262.63612268519</x:v>
      </x:c>
      <x:c r="AI15" s="20" t="str">
        <x:v>PVGIS-ERA5 2005-2023</x:v>
      </x:c>
      <x:c r="AJ15" s="20" t="str">
        <x:v>pmtiles://https://cyberjapandata.gsi.go.jp/xyz/optimal_bvmap-v1/optimal_bvmap-v1.pmtiles/14/14547/6441</x:v>
      </x:c>
    </x:row>
    <x:row r="16">
      <x:c r="A16" s="20" t="str">
        <x:v>千葉県</x:v>
      </x:c>
      <x:c r="B16" s="20" t="str">
        <x:v>12</x:v>
      </x:c>
      <x:c r="C16" s="20" t="str">
        <x:v>千葉県庁（千葉市）</x:v>
      </x:c>
      <x:c r="D16" s="192" t="n">
        <x:v>35.60456053</x:v>
      </x:c>
      <x:c r="E16" s="192" t="n">
        <x:v>140.12315333</x:v>
      </x:c>
      <x:c r="F16" s="580" t="n">
        <x:v>10</x:v>
      </x:c>
      <x:c r="G16" s="581" t="n">
        <x:v>134.002105</x:v>
      </x:c>
      <x:c r="H16" s="581" t="n">
        <x:v>126.760526</x:v>
      </x:c>
      <x:c r="I16" s="581" t="n">
        <x:v>151.982632</x:v>
      </x:c>
      <x:c r="J16" s="581" t="n">
        <x:v>156.535263</x:v>
      </x:c>
      <x:c r="K16" s="581" t="n">
        <x:v>162.78</x:v>
      </x:c>
      <x:c r="L16" s="581" t="n">
        <x:v>138.568421</x:v>
      </x:c>
      <x:c r="M16" s="581" t="n">
        <x:v>150.692105</x:v>
      </x:c>
      <x:c r="N16" s="581" t="n">
        <x:v>167.341053</x:v>
      </x:c>
      <x:c r="O16" s="581" t="n">
        <x:v>134.924211</x:v>
      </x:c>
      <x:c r="P16" s="581" t="n">
        <x:v>119.45</x:v>
      </x:c>
      <x:c r="Q16" s="581" t="n">
        <x:v>109.754211</x:v>
      </x:c>
      <x:c r="R16" s="581" t="n">
        <x:v>118.543684</x:v>
      </x:c>
      <x:c r="S16" s="581" t="n">
        <x:v>5.057895</x:v>
      </x:c>
      <x:c r="T16" s="581" t="n">
        <x:v>6.031579</x:v>
      </x:c>
      <x:c r="U16" s="581" t="n">
        <x:v>9.468421</x:v>
      </x:c>
      <x:c r="V16" s="581" t="n">
        <x:v>13.773684</x:v>
      </x:c>
      <x:c r="W16" s="581" t="n">
        <x:v>18.247368</x:v>
      </x:c>
      <x:c r="X16" s="581" t="n">
        <x:v>21.547368</x:v>
      </x:c>
      <x:c r="Y16" s="581" t="n">
        <x:v>25.284211</x:v>
      </x:c>
      <x:c r="Z16" s="581" t="n">
        <x:v>26.6</x:v>
      </x:c>
      <x:c r="AA16" s="581" t="n">
        <x:v>23.2</x:v>
      </x:c>
      <x:c r="AB16" s="581" t="n">
        <x:v>17.942105</x:v>
      </x:c>
      <x:c r="AC16" s="581" t="n">
        <x:v>12.905263</x:v>
      </x:c>
      <x:c r="AD16" s="581" t="n">
        <x:v>7.594737</x:v>
      </x:c>
      <x:c r="AE16" s="563" t="n">
        <x:f>SUM(G16:R16)</x:f>
        <x:v>1671.3342109999999</x:v>
      </x:c>
      <x:c r="AF16" s="20" t="str">
        <x:v>https://re.jrc.ec.europa.eu/api/v5_3/MRcalc?lat=35.604561&amp;lon=140.123153&amp;raddatabase=PVGIS-ERA5&amp;startyear=2005&amp;endyear=2023&amp;selectrad=1&amp;angle=30&amp;aspect=0&amp;avtemp=1&amp;usehorizon=0&amp;outputformat=json</x:v>
      </x:c>
      <x:c r="AG16" s="20" t="str">
        <x:v>24741950b5defd732ab9232d7b6a64aaf939be1c9911a1ac41f7a1616adfbf41</x:v>
      </x:c>
      <x:c r="AH16" s="582" t="n">
        <x:v>46262.63612268519</x:v>
      </x:c>
      <x:c r="AI16" s="20" t="str">
        <x:v>PVGIS-ERA5 2005-2023</x:v>
      </x:c>
      <x:c r="AJ16" s="20" t="str">
        <x:v>pmtiles://https://cyberjapandata.gsi.go.jp/xyz/optimal_bvmap-v1/optimal_bvmap-v1.pmtiles/14/14569/6455</x:v>
      </x:c>
    </x:row>
    <x:row r="17">
      <x:c r="A17" s="20" t="str">
        <x:v>東京都</x:v>
      </x:c>
      <x:c r="B17" s="20" t="str">
        <x:v>13</x:v>
      </x:c>
      <x:c r="C17" s="20" t="str">
        <x:v>東京都庁（新宿区）</x:v>
      </x:c>
      <x:c r="D17" s="192" t="n">
        <x:v>35.68950481</x:v>
      </x:c>
      <x:c r="E17" s="192" t="n">
        <x:v>139.69172001</x:v>
      </x:c>
      <x:c r="F17" s="580" t="n">
        <x:v>39</x:v>
      </x:c>
      <x:c r="G17" s="581" t="n">
        <x:v>133.425263</x:v>
      </x:c>
      <x:c r="H17" s="581" t="n">
        <x:v>126.079474</x:v>
      </x:c>
      <x:c r="I17" s="581" t="n">
        <x:v>148.788947</x:v>
      </x:c>
      <x:c r="J17" s="581" t="n">
        <x:v>151.948947</x:v>
      </x:c>
      <x:c r="K17" s="581" t="n">
        <x:v>156.476842</x:v>
      </x:c>
      <x:c r="L17" s="581" t="n">
        <x:v>129.283684</x:v>
      </x:c>
      <x:c r="M17" s="581" t="n">
        <x:v>139.598421</x:v>
      </x:c>
      <x:c r="N17" s="581" t="n">
        <x:v>156.055263</x:v>
      </x:c>
      <x:c r="O17" s="581" t="n">
        <x:v>126.583684</x:v>
      </x:c>
      <x:c r="P17" s="581" t="n">
        <x:v>115.443158</x:v>
      </x:c>
      <x:c r="Q17" s="581" t="n">
        <x:v>109.697895</x:v>
      </x:c>
      <x:c r="R17" s="581" t="n">
        <x:v>119.266316</x:v>
      </x:c>
      <x:c r="S17" s="581" t="n">
        <x:v>4.410526</x:v>
      </x:c>
      <x:c r="T17" s="581" t="n">
        <x:v>5.484211</x:v>
      </x:c>
      <x:c r="U17" s="581" t="n">
        <x:v>9.121053</x:v>
      </x:c>
      <x:c r="V17" s="581" t="n">
        <x:v>13.605263</x:v>
      </x:c>
      <x:c r="W17" s="581" t="n">
        <x:v>18.3</x:v>
      </x:c>
      <x:c r="X17" s="581" t="n">
        <x:v>21.694737</x:v>
      </x:c>
      <x:c r="Y17" s="581" t="n">
        <x:v>25.310526</x:v>
      </x:c>
      <x:c r="Z17" s="581" t="n">
        <x:v>26.621053</x:v>
      </x:c>
      <x:c r="AA17" s="581" t="n">
        <x:v>23.110526</x:v>
      </x:c>
      <x:c r="AB17" s="581" t="n">
        <x:v>17.584211</x:v>
      </x:c>
      <x:c r="AC17" s="581" t="n">
        <x:v>12.242105</x:v>
      </x:c>
      <x:c r="AD17" s="581" t="n">
        <x:v>6.936842</x:v>
      </x:c>
      <x:c r="AE17" s="563" t="n">
        <x:f>SUM(G17:R17)</x:f>
        <x:v>1612.647894</x:v>
      </x:c>
      <x:c r="AF17" s="20" t="str">
        <x:v>https://re.jrc.ec.europa.eu/api/v5_3/MRcalc?lat=35.689505&amp;lon=139.691720&amp;raddatabase=PVGIS-ERA5&amp;startyear=2005&amp;endyear=2023&amp;selectrad=1&amp;angle=30&amp;aspect=0&amp;avtemp=1&amp;usehorizon=0&amp;outputformat=json</x:v>
      </x:c>
      <x:c r="AG17" s="20" t="str">
        <x:v>efc98a0f818dcdf768c7bb4653b56b280a38d90fd62854c641044dd7bc175199</x:v>
      </x:c>
      <x:c r="AH17" s="582" t="n">
        <x:v>46262.63613425926</x:v>
      </x:c>
      <x:c r="AI17" s="20" t="str">
        <x:v>PVGIS-ERA5 2005-2023</x:v>
      </x:c>
      <x:c r="AJ17" s="20" t="str">
        <x:v>pmtiles://https://cyberjapandata.gsi.go.jp/xyz/optimal_bvmap-v1/optimal_bvmap-v1.pmtiles/14/14549/6451</x:v>
      </x:c>
    </x:row>
    <x:row r="18">
      <x:c r="A18" s="20" t="str">
        <x:v>神奈川県</x:v>
      </x:c>
      <x:c r="B18" s="20" t="str">
        <x:v>14</x:v>
      </x:c>
      <x:c r="C18" s="20" t="str">
        <x:v>神奈川県庁（横浜市）</x:v>
      </x:c>
      <x:c r="D18" s="192" t="n">
        <x:v>35.44773551</x:v>
      </x:c>
      <x:c r="E18" s="192" t="n">
        <x:v>139.64253366</x:v>
      </x:c>
      <x:c r="F18" s="580" t="n">
        <x:v>10</x:v>
      </x:c>
      <x:c r="G18" s="581" t="n">
        <x:v>130.353158</x:v>
      </x:c>
      <x:c r="H18" s="581" t="n">
        <x:v>123.844737</x:v>
      </x:c>
      <x:c r="I18" s="581" t="n">
        <x:v>149.418421</x:v>
      </x:c>
      <x:c r="J18" s="581" t="n">
        <x:v>153.778421</x:v>
      </x:c>
      <x:c r="K18" s="581" t="n">
        <x:v>160.341053</x:v>
      </x:c>
      <x:c r="L18" s="581" t="n">
        <x:v>133.528947</x:v>
      </x:c>
      <x:c r="M18" s="581" t="n">
        <x:v>146.389474</x:v>
      </x:c>
      <x:c r="N18" s="581" t="n">
        <x:v>163.323158</x:v>
      </x:c>
      <x:c r="O18" s="581" t="n">
        <x:v>132.544211</x:v>
      </x:c>
      <x:c r="P18" s="581" t="n">
        <x:v>118.471579</x:v>
      </x:c>
      <x:c r="Q18" s="581" t="n">
        <x:v>109.236316</x:v>
      </x:c>
      <x:c r="R18" s="581" t="n">
        <x:v>118.277895</x:v>
      </x:c>
      <x:c r="S18" s="581" t="n">
        <x:v>6.215789</x:v>
      </x:c>
      <x:c r="T18" s="581" t="n">
        <x:v>7.063158</x:v>
      </x:c>
      <x:c r="U18" s="581" t="n">
        <x:v>10.384211</x:v>
      </x:c>
      <x:c r="V18" s="581" t="n">
        <x:v>14.568421</x:v>
      </x:c>
      <x:c r="W18" s="581" t="n">
        <x:v>18.931579</x:v>
      </x:c>
      <x:c r="X18" s="581" t="n">
        <x:v>22.115789</x:v>
      </x:c>
      <x:c r="Y18" s="581" t="n">
        <x:v>25.678947</x:v>
      </x:c>
      <x:c r="Z18" s="581" t="n">
        <x:v>27.126316</x:v>
      </x:c>
      <x:c r="AA18" s="581" t="n">
        <x:v>23.947368</x:v>
      </x:c>
      <x:c r="AB18" s="581" t="n">
        <x:v>18.7</x:v>
      </x:c>
      <x:c r="AC18" s="581" t="n">
        <x:v>13.747368</x:v>
      </x:c>
      <x:c r="AD18" s="581" t="n">
        <x:v>8.705263</x:v>
      </x:c>
      <x:c r="AE18" s="563" t="n">
        <x:f>SUM(G18:R18)</x:f>
        <x:v>1639.5073699999998</x:v>
      </x:c>
      <x:c r="AF18" s="20" t="str">
        <x:v>https://re.jrc.ec.europa.eu/api/v5_3/MRcalc?lat=35.447736&amp;lon=139.642534&amp;raddatabase=PVGIS-ERA5&amp;startyear=2005&amp;endyear=2023&amp;selectrad=1&amp;angle=30&amp;aspect=0&amp;avtemp=1&amp;usehorizon=0&amp;outputformat=json</x:v>
      </x:c>
      <x:c r="AG18" s="20" t="str">
        <x:v>af1efa36781a3dc881248fc38ad8e1f85af781592351d15a1223da44c2be5d48</x:v>
      </x:c>
      <x:c r="AH18" s="582" t="n">
        <x:v>46262.63613425926</x:v>
      </x:c>
      <x:c r="AI18" s="20" t="str">
        <x:v>PVGIS-ERA5 2005-2023</x:v>
      </x:c>
      <x:c r="AJ18" s="20" t="str">
        <x:v>pmtiles://https://cyberjapandata.gsi.go.jp/xyz/optimal_bvmap-v1/optimal_bvmap-v1.pmtiles/14/14547/6464</x:v>
      </x:c>
    </x:row>
    <x:row r="19">
      <x:c r="A19" s="20" t="str">
        <x:v>新潟県</x:v>
      </x:c>
      <x:c r="B19" s="20" t="str">
        <x:v>15</x:v>
      </x:c>
      <x:c r="C19" s="20" t="str">
        <x:v>新潟県庁（新潟市）</x:v>
      </x:c>
      <x:c r="D19" s="192" t="n">
        <x:v>37.90245242</x:v>
      </x:c>
      <x:c r="E19" s="192" t="n">
        <x:v>139.02324378</x:v>
      </x:c>
      <x:c r="F19" s="580" t="n">
        <x:v>9</x:v>
      </x:c>
      <x:c r="G19" s="581" t="n">
        <x:v>90.041579</x:v>
      </x:c>
      <x:c r="H19" s="581" t="n">
        <x:v>107.945789</x:v>
      </x:c>
      <x:c r="I19" s="581" t="n">
        <x:v>145.625263</x:v>
      </x:c>
      <x:c r="J19" s="581" t="n">
        <x:v>158.705789</x:v>
      </x:c>
      <x:c r="K19" s="581" t="n">
        <x:v>167.792632</x:v>
      </x:c>
      <x:c r="L19" s="581" t="n">
        <x:v>155.144737</x:v>
      </x:c>
      <x:c r="M19" s="581" t="n">
        <x:v>142.776316</x:v>
      </x:c>
      <x:c r="N19" s="581" t="n">
        <x:v>157.854737</x:v>
      </x:c>
      <x:c r="O19" s="581" t="n">
        <x:v>136.260526</x:v>
      </x:c>
      <x:c r="P19" s="581" t="n">
        <x:v>121.561579</x:v>
      </x:c>
      <x:c r="Q19" s="581" t="n">
        <x:v>92.602105</x:v>
      </x:c>
      <x:c r="R19" s="581" t="n">
        <x:v>77.594737</x:v>
      </x:c>
      <x:c r="S19" s="581" t="n">
        <x:v>1.494737</x:v>
      </x:c>
      <x:c r="T19" s="581" t="n">
        <x:v>1.805263</x:v>
      </x:c>
      <x:c r="U19" s="581" t="n">
        <x:v>5.542105</x:v>
      </x:c>
      <x:c r="V19" s="581" t="n">
        <x:v>10.421053</x:v>
      </x:c>
      <x:c r="W19" s="581" t="n">
        <x:v>15.878947</x:v>
      </x:c>
      <x:c r="X19" s="581" t="n">
        <x:v>20.463158</x:v>
      </x:c>
      <x:c r="Y19" s="581" t="n">
        <x:v>24.336842</x:v>
      </x:c>
      <x:c r="Z19" s="581" t="n">
        <x:v>25.794737</x:v>
      </x:c>
      <x:c r="AA19" s="581" t="n">
        <x:v>21.857895</x:v>
      </x:c>
      <x:c r="AB19" s="581" t="n">
        <x:v>15.731579</x:v>
      </x:c>
      <x:c r="AC19" s="581" t="n">
        <x:v>9.957895</x:v>
      </x:c>
      <x:c r="AD19" s="581" t="n">
        <x:v>4.342105</x:v>
      </x:c>
      <x:c r="AE19" s="563" t="n">
        <x:f>SUM(G19:R19)</x:f>
        <x:v>1553.9057889999997</x:v>
      </x:c>
      <x:c r="AF19" s="20" t="str">
        <x:v>https://re.jrc.ec.europa.eu/api/v5_3/MRcalc?lat=37.902452&amp;lon=139.023244&amp;raddatabase=PVGIS-ERA5&amp;startyear=2005&amp;endyear=2023&amp;selectrad=1&amp;angle=30&amp;aspect=0&amp;avtemp=1&amp;usehorizon=0&amp;outputformat=json</x:v>
      </x:c>
      <x:c r="AG19" s="20" t="str">
        <x:v>a92baf0bd4dde57963e9aa1251b164c2d3e724a8c3498c6a27459abd4a1bfd00</x:v>
      </x:c>
      <x:c r="AH19" s="582" t="n">
        <x:v>46262.636145833334</x:v>
      </x:c>
      <x:c r="AI19" s="20" t="str">
        <x:v>PVGIS-ERA5 2005-2023</x:v>
      </x:c>
      <x:c r="AJ19" s="20" t="str">
        <x:v>pmtiles://https://cyberjapandata.gsi.go.jp/xyz/optimal_bvmap-v1/optimal_bvmap-v1.pmtiles/14/14519/6325</x:v>
      </x:c>
    </x:row>
    <x:row r="20">
      <x:c r="A20" s="20" t="str">
        <x:v>富山県</x:v>
      </x:c>
      <x:c r="B20" s="20" t="str">
        <x:v>16</x:v>
      </x:c>
      <x:c r="C20" s="20" t="str">
        <x:v>富山県庁（富山市）</x:v>
      </x:c>
      <x:c r="D20" s="192" t="n">
        <x:v>36.69526817</x:v>
      </x:c>
      <x:c r="E20" s="192" t="n">
        <x:v>137.21130431</x:v>
      </x:c>
      <x:c r="F20" s="580" t="n">
        <x:v>11</x:v>
      </x:c>
      <x:c r="G20" s="581" t="n">
        <x:v>109.72</x:v>
      </x:c>
      <x:c r="H20" s="581" t="n">
        <x:v>122.063684</x:v>
      </x:c>
      <x:c r="I20" s="581" t="n">
        <x:v>162.373158</x:v>
      </x:c>
      <x:c r="J20" s="581" t="n">
        <x:v>165.596842</x:v>
      </x:c>
      <x:c r="K20" s="581" t="n">
        <x:v>172.726316</x:v>
      </x:c>
      <x:c r="L20" s="581" t="n">
        <x:v>151.720526</x:v>
      </x:c>
      <x:c r="M20" s="581" t="n">
        <x:v>142.912632</x:v>
      </x:c>
      <x:c r="N20" s="581" t="n">
        <x:v>156.429474</x:v>
      </x:c>
      <x:c r="O20" s="581" t="n">
        <x:v>138.397895</x:v>
      </x:c>
      <x:c r="P20" s="581" t="n">
        <x:v>137.059474</x:v>
      </x:c>
      <x:c r="Q20" s="581" t="n">
        <x:v>110.098421</x:v>
      </x:c>
      <x:c r="R20" s="581" t="n">
        <x:v>95.055789</x:v>
      </x:c>
      <x:c r="S20" s="581" t="n">
        <x:v>-0.778947</x:v>
      </x:c>
      <x:c r="T20" s="581" t="n">
        <x:v>0.021053</x:v>
      </x:c>
      <x:c r="U20" s="581" t="n">
        <x:v>3.6</x:v>
      </x:c>
      <x:c r="V20" s="581" t="n">
        <x:v>9.663158</x:v>
      </x:c>
      <x:c r="W20" s="581" t="n">
        <x:v>15.321053</x:v>
      </x:c>
      <x:c r="X20" s="581" t="n">
        <x:v>19.478947</x:v>
      </x:c>
      <x:c r="Y20" s="581" t="n">
        <x:v>23.231579</x:v>
      </x:c>
      <x:c r="Z20" s="581" t="n">
        <x:v>24.047368</x:v>
      </x:c>
      <x:c r="AA20" s="581" t="n">
        <x:v>19.973684</x:v>
      </x:c>
      <x:c r="AB20" s="581" t="n">
        <x:v>13.752632</x:v>
      </x:c>
      <x:c r="AC20" s="581" t="n">
        <x:v>7.984211</x:v>
      </x:c>
      <x:c r="AD20" s="581" t="n">
        <x:v>2.010526</x:v>
      </x:c>
      <x:c r="AE20" s="563" t="n">
        <x:f>SUM(G20:R20)</x:f>
        <x:v>1664.154211</x:v>
      </x:c>
      <x:c r="AF20" s="20" t="str">
        <x:v>https://re.jrc.ec.europa.eu/api/v5_3/MRcalc?lat=36.695268&amp;lon=137.211304&amp;raddatabase=PVGIS-ERA5&amp;startyear=2005&amp;endyear=2023&amp;selectrad=1&amp;angle=30&amp;aspect=0&amp;avtemp=1&amp;usehorizon=0&amp;outputformat=json</x:v>
      </x:c>
      <x:c r="AG20" s="20" t="str">
        <x:v>0e244ad32b6d1010a9bb6034cfc6f4ba0255741cde2fe9908cd16f3fb22099fd</x:v>
      </x:c>
      <x:c r="AH20" s="582" t="n">
        <x:v>46262.63630787037</x:v>
      </x:c>
      <x:c r="AI20" s="20" t="str">
        <x:v>PVGIS-ERA5 2005-2023</x:v>
      </x:c>
      <x:c r="AJ20" s="20" t="str">
        <x:v>pmtiles://https://cyberjapandata.gsi.go.jp/xyz/optimal_bvmap-v1/optimal_bvmap-v1.pmtiles/14/14436/6394</x:v>
      </x:c>
    </x:row>
    <x:row r="21">
      <x:c r="A21" s="20" t="str">
        <x:v>石川県</x:v>
      </x:c>
      <x:c r="B21" s="20" t="str">
        <x:v>17</x:v>
      </x:c>
      <x:c r="C21" s="20" t="str">
        <x:v>石川県庁（金沢市）</x:v>
      </x:c>
      <x:c r="D21" s="192" t="n">
        <x:v>36.59460731</x:v>
      </x:c>
      <x:c r="E21" s="192" t="n">
        <x:v>136.62566543</x:v>
      </x:c>
      <x:c r="F21" s="580" t="n">
        <x:v>5</x:v>
      </x:c>
      <x:c r="G21" s="581" t="n">
        <x:v>111.089474</x:v>
      </x:c>
      <x:c r="H21" s="581" t="n">
        <x:v>122.51</x:v>
      </x:c>
      <x:c r="I21" s="581" t="n">
        <x:v>161.600526</x:v>
      </x:c>
      <x:c r="J21" s="581" t="n">
        <x:v>166.713684</x:v>
      </x:c>
      <x:c r="K21" s="581" t="n">
        <x:v>174.39</x:v>
      </x:c>
      <x:c r="L21" s="581" t="n">
        <x:v>155.422105</x:v>
      </x:c>
      <x:c r="M21" s="581" t="n">
        <x:v>146.945789</x:v>
      </x:c>
      <x:c r="N21" s="581" t="n">
        <x:v>159.085789</x:v>
      </x:c>
      <x:c r="O21" s="581" t="n">
        <x:v>139.517895</x:v>
      </x:c>
      <x:c r="P21" s="581" t="n">
        <x:v>136.683158</x:v>
      </x:c>
      <x:c r="Q21" s="581" t="n">
        <x:v>108.057368</x:v>
      </x:c>
      <x:c r="R21" s="581" t="n">
        <x:v>94.765789</x:v>
      </x:c>
      <x:c r="S21" s="581" t="n">
        <x:v>-0.078947</x:v>
      </x:c>
      <x:c r="T21" s="581" t="n">
        <x:v>0.805263</x:v>
      </x:c>
      <x:c r="U21" s="581" t="n">
        <x:v>4.821053</x:v>
      </x:c>
      <x:c r="V21" s="581" t="n">
        <x:v>10.315789</x:v>
      </x:c>
      <x:c r="W21" s="581" t="n">
        <x:v>15.689474</x:v>
      </x:c>
      <x:c r="X21" s="581" t="n">
        <x:v>20.010526</x:v>
      </x:c>
      <x:c r="Y21" s="581" t="n">
        <x:v>23.8</x:v>
      </x:c>
      <x:c r="Z21" s="581" t="n">
        <x:v>24.789474</x:v>
      </x:c>
      <x:c r="AA21" s="581" t="n">
        <x:v>20.521053</x:v>
      </x:c>
      <x:c r="AB21" s="581" t="n">
        <x:v>14.410526</x:v>
      </x:c>
      <x:c r="AC21" s="581" t="n">
        <x:v>8.7</x:v>
      </x:c>
      <x:c r="AD21" s="581" t="n">
        <x:v>2.847368</x:v>
      </x:c>
      <x:c r="AE21" s="563" t="n">
        <x:f>SUM(G21:R21)</x:f>
        <x:v>1676.781577</x:v>
      </x:c>
      <x:c r="AF21" s="20" t="str">
        <x:v>https://re.jrc.ec.europa.eu/api/v5_3/MRcalc?lat=36.594607&amp;lon=136.625665&amp;raddatabase=PVGIS-ERA5&amp;startyear=2005&amp;endyear=2023&amp;selectrad=1&amp;angle=30&amp;aspect=0&amp;avtemp=1&amp;usehorizon=0&amp;outputformat=json</x:v>
      </x:c>
      <x:c r="AG21" s="20" t="str">
        <x:v>be144eaf966a6c2c8b9e15da1ddaa1077f8e9cb928dc3d48a5d191b9017d8ebd</x:v>
      </x:c>
      <x:c r="AH21" s="582" t="n">
        <x:v>46262.63630787037</x:v>
      </x:c>
      <x:c r="AI21" s="20" t="str">
        <x:v>PVGIS-ERA5 2005-2023</x:v>
      </x:c>
      <x:c r="AJ21" s="20" t="str">
        <x:v>pmtiles://https://cyberjapandata.gsi.go.jp/xyz/optimal_bvmap-v1/optimal_bvmap-v1.pmtiles/14/14409/6400</x:v>
      </x:c>
    </x:row>
    <x:row r="22">
      <x:c r="A22" s="20" t="str">
        <x:v>福井県</x:v>
      </x:c>
      <x:c r="B22" s="20" t="str">
        <x:v>18</x:v>
      </x:c>
      <x:c r="C22" s="20" t="str">
        <x:v>福井県庁（福井市）</x:v>
      </x:c>
      <x:c r="D22" s="192" t="n">
        <x:v>36.06521001</x:v>
      </x:c>
      <x:c r="E22" s="192" t="n">
        <x:v>136.22171938</x:v>
      </x:c>
      <x:c r="F22" s="580" t="n">
        <x:v>12</x:v>
      </x:c>
      <x:c r="G22" s="581" t="n">
        <x:v>115.615789</x:v>
      </x:c>
      <x:c r="H22" s="581" t="n">
        <x:v>123.871579</x:v>
      </x:c>
      <x:c r="I22" s="581" t="n">
        <x:v>160.34</x:v>
      </x:c>
      <x:c r="J22" s="581" t="n">
        <x:v>164.818421</x:v>
      </x:c>
      <x:c r="K22" s="581" t="n">
        <x:v>171.358421</x:v>
      </x:c>
      <x:c r="L22" s="581" t="n">
        <x:v>151.921053</x:v>
      </x:c>
      <x:c r="M22" s="581" t="n">
        <x:v>146.748421</x:v>
      </x:c>
      <x:c r="N22" s="581" t="n">
        <x:v>161.236316</x:v>
      </x:c>
      <x:c r="O22" s="581" t="n">
        <x:v>141.046842</x:v>
      </x:c>
      <x:c r="P22" s="581" t="n">
        <x:v>138.701053</x:v>
      </x:c>
      <x:c r="Q22" s="581" t="n">
        <x:v>110.470526</x:v>
      </x:c>
      <x:c r="R22" s="581" t="n">
        <x:v>99.013158</x:v>
      </x:c>
      <x:c r="S22" s="581" t="n">
        <x:v>1.7</x:v>
      </x:c>
      <x:c r="T22" s="581" t="n">
        <x:v>2.610526</x:v>
      </x:c>
      <x:c r="U22" s="581" t="n">
        <x:v>6.389474</x:v>
      </x:c>
      <x:c r="V22" s="581" t="n">
        <x:v>11.389474</x:v>
      </x:c>
      <x:c r="W22" s="581" t="n">
        <x:v>16.221053</x:v>
      </x:c>
      <x:c r="X22" s="581" t="n">
        <x:v>20.573684</x:v>
      </x:c>
      <x:c r="Y22" s="581" t="n">
        <x:v>24.468421</x:v>
      </x:c>
      <x:c r="Z22" s="581" t="n">
        <x:v>25.515789</x:v>
      </x:c>
      <x:c r="AA22" s="581" t="n">
        <x:v>21.668421</x:v>
      </x:c>
      <x:c r="AB22" s="581" t="n">
        <x:v>15.836842</x:v>
      </x:c>
      <x:c r="AC22" s="581" t="n">
        <x:v>10.310526</x:v>
      </x:c>
      <x:c r="AD22" s="581" t="n">
        <x:v>4.531579</x:v>
      </x:c>
      <x:c r="AE22" s="563" t="n">
        <x:f>SUM(G22:R22)</x:f>
        <x:v>1685.1415789999999</x:v>
      </x:c>
      <x:c r="AF22" s="20" t="str">
        <x:v>https://re.jrc.ec.europa.eu/api/v5_3/MRcalc?lat=36.065210&amp;lon=136.221719&amp;raddatabase=PVGIS-ERA5&amp;startyear=2005&amp;endyear=2023&amp;selectrad=1&amp;angle=30&amp;aspect=0&amp;avtemp=1&amp;usehorizon=0&amp;outputformat=json</x:v>
      </x:c>
      <x:c r="AG22" s="20" t="str">
        <x:v>9f014e6146ba4d7e4370ac4c35ce3fc9bea2cd156ded030ade6429995175ff34</x:v>
      </x:c>
      <x:c r="AH22" s="582" t="n">
        <x:v>46262.63630787037</x:v>
      </x:c>
      <x:c r="AI22" s="20" t="str">
        <x:v>PVGIS-ERA5 2005-2023</x:v>
      </x:c>
      <x:c r="AJ22" s="20" t="str">
        <x:v>pmtiles://https://cyberjapandata.gsi.go.jp/xyz/optimal_bvmap-v1/optimal_bvmap-v1.pmtiles/14/14391/6430</x:v>
      </x:c>
    </x:row>
    <x:row r="23">
      <x:c r="A23" s="20" t="str">
        <x:v>山梨県</x:v>
      </x:c>
      <x:c r="B23" s="20" t="str">
        <x:v>19</x:v>
      </x:c>
      <x:c r="C23" s="20" t="str">
        <x:v>山梨県庁（甲府市）</x:v>
      </x:c>
      <x:c r="D23" s="192" t="n">
        <x:v>35.66410859</x:v>
      </x:c>
      <x:c r="E23" s="192" t="n">
        <x:v>138.56845379</x:v>
      </x:c>
      <x:c r="F23" s="580" t="n">
        <x:v>279</x:v>
      </x:c>
      <x:c r="G23" s="581" t="n">
        <x:v>148.813684</x:v>
      </x:c>
      <x:c r="H23" s="581" t="n">
        <x:v>141.477368</x:v>
      </x:c>
      <x:c r="I23" s="581" t="n">
        <x:v>163.315789</x:v>
      </x:c>
      <x:c r="J23" s="581" t="n">
        <x:v>159.38</x:v>
      </x:c>
      <x:c r="K23" s="581" t="n">
        <x:v>162.943684</x:v>
      </x:c>
      <x:c r="L23" s="581" t="n">
        <x:v>131.908421</x:v>
      </x:c>
      <x:c r="M23" s="581" t="n">
        <x:v>137.177895</x:v>
      </x:c>
      <x:c r="N23" s="581" t="n">
        <x:v>150.793158</x:v>
      </x:c>
      <x:c r="O23" s="581" t="n">
        <x:v>128.672105</x:v>
      </x:c>
      <x:c r="P23" s="581" t="n">
        <x:v>124.277895</x:v>
      </x:c>
      <x:c r="Q23" s="581" t="n">
        <x:v>121.167368</x:v>
      </x:c>
      <x:c r="R23" s="581" t="n">
        <x:v>133.664737</x:v>
      </x:c>
      <x:c r="S23" s="581" t="n">
        <x:v>2.084211</x:v>
      </x:c>
      <x:c r="T23" s="581" t="n">
        <x:v>3.036842</x:v>
      </x:c>
      <x:c r="U23" s="581" t="n">
        <x:v>6.810526</x:v>
      </x:c>
      <x:c r="V23" s="581" t="n">
        <x:v>11.573684</x:v>
      </x:c>
      <x:c r="W23" s="581" t="n">
        <x:v>16.452632</x:v>
      </x:c>
      <x:c r="X23" s="581" t="n">
        <x:v>19.931579</x:v>
      </x:c>
      <x:c r="Y23" s="581" t="n">
        <x:v>23.521053</x:v>
      </x:c>
      <x:c r="Z23" s="581" t="n">
        <x:v>24.215789</x:v>
      </x:c>
      <x:c r="AA23" s="581" t="n">
        <x:v>20.468421</x:v>
      </x:c>
      <x:c r="AB23" s="581" t="n">
        <x:v>14.8</x:v>
      </x:c>
      <x:c r="AC23" s="581" t="n">
        <x:v>9.321053</x:v>
      </x:c>
      <x:c r="AD23" s="581" t="n">
        <x:v>4.147368</x:v>
      </x:c>
      <x:c r="AE23" s="563" t="n">
        <x:f>SUM(G23:R23)</x:f>
        <x:v>1703.5921039999996</x:v>
      </x:c>
      <x:c r="AF23" s="20" t="str">
        <x:v>https://re.jrc.ec.europa.eu/api/v5_3/MRcalc?lat=35.664109&amp;lon=138.568454&amp;raddatabase=PVGIS-ERA5&amp;startyear=2005&amp;endyear=2023&amp;selectrad=1&amp;angle=30&amp;aspect=0&amp;avtemp=1&amp;usehorizon=0&amp;outputformat=json</x:v>
      </x:c>
      <x:c r="AG23" s="20" t="str">
        <x:v>9a3c5e3c5f012724a1ed89da97c3cf22328e37ca20af32e3250e31522cb1c0c7</x:v>
      </x:c>
      <x:c r="AH23" s="582" t="n">
        <x:v>46262.63631944444</x:v>
      </x:c>
      <x:c r="AI23" s="20" t="str">
        <x:v>PVGIS-ERA5 2005-2023</x:v>
      </x:c>
      <x:c r="AJ23" s="20" t="str">
        <x:v>pmtiles://https://cyberjapandata.gsi.go.jp/xyz/optimal_bvmap-v1/optimal_bvmap-v1.pmtiles/14/14498/6452</x:v>
      </x:c>
    </x:row>
    <x:row r="24">
      <x:c r="A24" s="20" t="str">
        <x:v>長野県</x:v>
      </x:c>
      <x:c r="B24" s="20" t="str">
        <x:v>20</x:v>
      </x:c>
      <x:c r="C24" s="20" t="str">
        <x:v>長野県庁（長野市）</x:v>
      </x:c>
      <x:c r="D24" s="192" t="n">
        <x:v>36.65130898</x:v>
      </x:c>
      <x:c r="E24" s="192" t="n">
        <x:v>138.18090141</x:v>
      </x:c>
      <x:c r="F24" s="580" t="n">
        <x:v>379</x:v>
      </x:c>
      <x:c r="G24" s="581" t="n">
        <x:v>128.654737</x:v>
      </x:c>
      <x:c r="H24" s="581" t="n">
        <x:v>135.932105</x:v>
      </x:c>
      <x:c r="I24" s="581" t="n">
        <x:v>171.214211</x:v>
      </x:c>
      <x:c r="J24" s="581" t="n">
        <x:v>171.090526</x:v>
      </x:c>
      <x:c r="K24" s="581" t="n">
        <x:v>174.848947</x:v>
      </x:c>
      <x:c r="L24" s="581" t="n">
        <x:v>149.495263</x:v>
      </x:c>
      <x:c r="M24" s="581" t="n">
        <x:v>142.651579</x:v>
      </x:c>
      <x:c r="N24" s="581" t="n">
        <x:v>156.885263</x:v>
      </x:c>
      <x:c r="O24" s="581" t="n">
        <x:v>136.734737</x:v>
      </x:c>
      <x:c r="P24" s="581" t="n">
        <x:v>130.709474</x:v>
      </x:c>
      <x:c r="Q24" s="581" t="n">
        <x:v>117.111579</x:v>
      </x:c>
      <x:c r="R24" s="581" t="n">
        <x:v>116.703684</x:v>
      </x:c>
      <x:c r="S24" s="581" t="n">
        <x:v>-2.768421</x:v>
      </x:c>
      <x:c r="T24" s="581" t="n">
        <x:v>-1.573684</x:v>
      </x:c>
      <x:c r="U24" s="581" t="n">
        <x:v>2.305263</x:v>
      </x:c>
      <x:c r="V24" s="581" t="n">
        <x:v>8.073684</x:v>
      </x:c>
      <x:c r="W24" s="581" t="n">
        <x:v>14.168421</x:v>
      </x:c>
      <x:c r="X24" s="581" t="n">
        <x:v>18.136842</x:v>
      </x:c>
      <x:c r="Y24" s="581" t="n">
        <x:v>21.547368</x:v>
      </x:c>
      <x:c r="Z24" s="581" t="n">
        <x:v>22.515789</x:v>
      </x:c>
      <x:c r="AA24" s="581" t="n">
        <x:v>18.273684</x:v>
      </x:c>
      <x:c r="AB24" s="581" t="n">
        <x:v>11.9</x:v>
      </x:c>
      <x:c r="AC24" s="581" t="n">
        <x:v>5.831579</x:v>
      </x:c>
      <x:c r="AD24" s="581" t="n">
        <x:v>-0.057895</x:v>
      </x:c>
      <x:c r="AE24" s="563" t="n">
        <x:f>SUM(G24:R24)</x:f>
        <x:v>1732.0321050000002</x:v>
      </x:c>
      <x:c r="AF24" s="20" t="str">
        <x:v>https://re.jrc.ec.europa.eu/api/v5_3/MRcalc?lat=36.651309&amp;lon=138.180901&amp;raddatabase=PVGIS-ERA5&amp;startyear=2005&amp;endyear=2023&amp;selectrad=1&amp;angle=30&amp;aspect=0&amp;avtemp=1&amp;usehorizon=0&amp;outputformat=json</x:v>
      </x:c>
      <x:c r="AG24" s="20" t="str">
        <x:v>201a9f7c98b661f1659a4beb322561ee49fdbcc540a4ef61a2545411704affd1</x:v>
      </x:c>
      <x:c r="AH24" s="582" t="n">
        <x:v>46262.63630787037</x:v>
      </x:c>
      <x:c r="AI24" s="20" t="str">
        <x:v>PVGIS-ERA5 2005-2023</x:v>
      </x:c>
      <x:c r="AJ24" s="20" t="str">
        <x:v>pmtiles://https://cyberjapandata.gsi.go.jp/xyz/optimal_bvmap-v1/optimal_bvmap-v1.pmtiles/14/14480/6396</x:v>
      </x:c>
    </x:row>
    <x:row r="25">
      <x:c r="A25" s="20" t="str">
        <x:v>岐阜県</x:v>
      </x:c>
      <x:c r="B25" s="20" t="str">
        <x:v>21</x:v>
      </x:c>
      <x:c r="C25" s="20" t="str">
        <x:v>岐阜県庁（岐阜市）</x:v>
      </x:c>
      <x:c r="D25" s="192" t="n">
        <x:v>35.39117535</x:v>
      </x:c>
      <x:c r="E25" s="192" t="n">
        <x:v>136.72365189</x:v>
      </x:c>
      <x:c r="F25" s="580" t="n">
        <x:v>6</x:v>
      </x:c>
      <x:c r="G25" s="581" t="n">
        <x:v>137.894737</x:v>
      </x:c>
      <x:c r="H25" s="581" t="n">
        <x:v>137.615263</x:v>
      </x:c>
      <x:c r="I25" s="581" t="n">
        <x:v>167.511053</x:v>
      </x:c>
      <x:c r="J25" s="581" t="n">
        <x:v>163.975789</x:v>
      </x:c>
      <x:c r="K25" s="581" t="n">
        <x:v>166.193684</x:v>
      </x:c>
      <x:c r="L25" s="581" t="n">
        <x:v>142.427895</x:v>
      </x:c>
      <x:c r="M25" s="581" t="n">
        <x:v>140.795789</x:v>
      </x:c>
      <x:c r="N25" s="581" t="n">
        <x:v>159.160526</x:v>
      </x:c>
      <x:c r="O25" s="581" t="n">
        <x:v>141.469474</x:v>
      </x:c>
      <x:c r="P25" s="581" t="n">
        <x:v>141.867368</x:v>
      </x:c>
      <x:c r="Q25" s="581" t="n">
        <x:v>124.712105</x:v>
      </x:c>
      <x:c r="R25" s="581" t="n">
        <x:v>123.014211</x:v>
      </x:c>
      <x:c r="S25" s="581" t="n">
        <x:v>2.989474</x:v>
      </x:c>
      <x:c r="T25" s="581" t="n">
        <x:v>4.194737</x:v>
      </x:c>
      <x:c r="U25" s="581" t="n">
        <x:v>7.921053</x:v>
      </x:c>
      <x:c r="V25" s="581" t="n">
        <x:v>12.794737</x:v>
      </x:c>
      <x:c r="W25" s="581" t="n">
        <x:v>17.636842</x:v>
      </x:c>
      <x:c r="X25" s="581" t="n">
        <x:v>21.789474</x:v>
      </x:c>
      <x:c r="Y25" s="581" t="n">
        <x:v>25.357895</x:v>
      </x:c>
      <x:c r="Z25" s="581" t="n">
        <x:v>26.389474</x:v>
      </x:c>
      <x:c r="AA25" s="581" t="n">
        <x:v>22.778947</x:v>
      </x:c>
      <x:c r="AB25" s="581" t="n">
        <x:v>16.705263</x:v>
      </x:c>
      <x:c r="AC25" s="581" t="n">
        <x:v>10.731579</x:v>
      </x:c>
      <x:c r="AD25" s="581" t="n">
        <x:v>5.152632</x:v>
      </x:c>
      <x:c r="AE25" s="563" t="n">
        <x:f>SUM(G25:R25)</x:f>
        <x:v>1746.637894</x:v>
      </x:c>
      <x:c r="AF25" s="20" t="str">
        <x:v>https://re.jrc.ec.europa.eu/api/v5_3/MRcalc?lat=35.391175&amp;lon=136.723652&amp;raddatabase=PVGIS-ERA5&amp;startyear=2005&amp;endyear=2023&amp;selectrad=1&amp;angle=30&amp;aspect=0&amp;avtemp=1&amp;usehorizon=0&amp;outputformat=json</x:v>
      </x:c>
      <x:c r="AG25" s="20" t="str">
        <x:v>9131c8ce94f264769fd78d8029f9bd4b4183c452de110a576b5422e1ca640d75</x:v>
      </x:c>
      <x:c r="AH25" s="582" t="n">
        <x:v>46262.63649305556</x:v>
      </x:c>
      <x:c r="AI25" s="20" t="str">
        <x:v>PVGIS-ERA5 2005-2023</x:v>
      </x:c>
      <x:c r="AJ25" s="20" t="str">
        <x:v>pmtiles://https://cyberjapandata.gsi.go.jp/xyz/optimal_bvmap-v1/optimal_bvmap-v1.pmtiles/14/14414/6467</x:v>
      </x:c>
    </x:row>
    <x:row r="26">
      <x:c r="A26" s="20" t="str">
        <x:v>静岡県</x:v>
      </x:c>
      <x:c r="B26" s="20" t="str">
        <x:v>22</x:v>
      </x:c>
      <x:c r="C26" s="20" t="str">
        <x:v>静岡県庁（静岡市）</x:v>
      </x:c>
      <x:c r="D26" s="192" t="n">
        <x:v>34.97694655</x:v>
      </x:c>
      <x:c r="E26" s="192" t="n">
        <x:v>138.38305414</x:v>
      </x:c>
      <x:c r="F26" s="580" t="n">
        <x:v>37</x:v>
      </x:c>
      <x:c r="G26" s="581" t="n">
        <x:v>148.386842</x:v>
      </x:c>
      <x:c r="H26" s="581" t="n">
        <x:v>138.927368</x:v>
      </x:c>
      <x:c r="I26" s="581" t="n">
        <x:v>167.93</x:v>
      </x:c>
      <x:c r="J26" s="581" t="n">
        <x:v>164.132105</x:v>
      </x:c>
      <x:c r="K26" s="581" t="n">
        <x:v>169.946842</x:v>
      </x:c>
      <x:c r="L26" s="581" t="n">
        <x:v>143.071579</x:v>
      </x:c>
      <x:c r="M26" s="581" t="n">
        <x:v>155.16</x:v>
      </x:c>
      <x:c r="N26" s="581" t="n">
        <x:v>170.861579</x:v>
      </x:c>
      <x:c r="O26" s="581" t="n">
        <x:v>147.330526</x:v>
      </x:c>
      <x:c r="P26" s="581" t="n">
        <x:v>135.724737</x:v>
      </x:c>
      <x:c r="Q26" s="581" t="n">
        <x:v>122.678947</x:v>
      </x:c>
      <x:c r="R26" s="581" t="n">
        <x:v>135.616316</x:v>
      </x:c>
      <x:c r="S26" s="581" t="n">
        <x:v>5.531579</x:v>
      </x:c>
      <x:c r="T26" s="581" t="n">
        <x:v>6.521053</x:v>
      </x:c>
      <x:c r="U26" s="581" t="n">
        <x:v>9.536842</x:v>
      </x:c>
      <x:c r="V26" s="581" t="n">
        <x:v>13.594737</x:v>
      </x:c>
      <x:c r="W26" s="581" t="n">
        <x:v>17.894737</x:v>
      </x:c>
      <x:c r="X26" s="581" t="n">
        <x:v>21.315789</x:v>
      </x:c>
      <x:c r="Y26" s="581" t="n">
        <x:v>25.205263</x:v>
      </x:c>
      <x:c r="Z26" s="581" t="n">
        <x:v>26.226316</x:v>
      </x:c>
      <x:c r="AA26" s="581" t="n">
        <x:v>23.168421</x:v>
      </x:c>
      <x:c r="AB26" s="581" t="n">
        <x:v>18.1</x:v>
      </x:c>
      <x:c r="AC26" s="581" t="n">
        <x:v>12.763158</x:v>
      </x:c>
      <x:c r="AD26" s="581" t="n">
        <x:v>7.468421</x:v>
      </x:c>
      <x:c r="AE26" s="563" t="n">
        <x:f>SUM(G26:R26)</x:f>
        <x:v>1799.766841</x:v>
      </x:c>
      <x:c r="AF26" s="20" t="str">
        <x:v>https://re.jrc.ec.europa.eu/api/v5_3/MRcalc?lat=34.976947&amp;lon=138.383054&amp;raddatabase=PVGIS-ERA5&amp;startyear=2005&amp;endyear=2023&amp;selectrad=1&amp;angle=30&amp;aspect=0&amp;avtemp=1&amp;usehorizon=0&amp;outputformat=json</x:v>
      </x:c>
      <x:c r="AG26" s="20" t="str">
        <x:v>23a705def00a3a869cef594e83ace6de35f8626754f9706edb7b82c4a55401e1</x:v>
      </x:c>
      <x:c r="AH26" s="582" t="n">
        <x:v>46262.63649305556</x:v>
      </x:c>
      <x:c r="AI26" s="20" t="str">
        <x:v>PVGIS-ERA5 2005-2023</x:v>
      </x:c>
      <x:c r="AJ26" s="20" t="str">
        <x:v>pmtiles://https://cyberjapandata.gsi.go.jp/xyz/optimal_bvmap-v1/optimal_bvmap-v1.pmtiles/14/14489/6490</x:v>
      </x:c>
    </x:row>
    <x:row r="27">
      <x:c r="A27" s="20" t="str">
        <x:v>愛知県</x:v>
      </x:c>
      <x:c r="B27" s="20" t="str">
        <x:v>23</x:v>
      </x:c>
      <x:c r="C27" s="20" t="str">
        <x:v>愛知県庁（名古屋市）</x:v>
      </x:c>
      <x:c r="D27" s="192" t="n">
        <x:v>35.18021005</x:v>
      </x:c>
      <x:c r="E27" s="192" t="n">
        <x:v>136.90657854</x:v>
      </x:c>
      <x:c r="F27" s="580" t="n">
        <x:v>14</x:v>
      </x:c>
      <x:c r="G27" s="581" t="n">
        <x:v>145.326842</x:v>
      </x:c>
      <x:c r="H27" s="581" t="n">
        <x:v>142.862105</x:v>
      </x:c>
      <x:c r="I27" s="581" t="n">
        <x:v>172.303158</x:v>
      </x:c>
      <x:c r="J27" s="581" t="n">
        <x:v>167.273158</x:v>
      </x:c>
      <x:c r="K27" s="581" t="n">
        <x:v>168.808947</x:v>
      </x:c>
      <x:c r="L27" s="581" t="n">
        <x:v>144.545789</x:v>
      </x:c>
      <x:c r="M27" s="581" t="n">
        <x:v>147.057895</x:v>
      </x:c>
      <x:c r="N27" s="581" t="n">
        <x:v>164.185789</x:v>
      </x:c>
      <x:c r="O27" s="581" t="n">
        <x:v>144.570526</x:v>
      </x:c>
      <x:c r="P27" s="581" t="n">
        <x:v>142.36</x:v>
      </x:c>
      <x:c r="Q27" s="581" t="n">
        <x:v>128.472105</x:v>
      </x:c>
      <x:c r="R27" s="581" t="n">
        <x:v>131.147368</x:v>
      </x:c>
      <x:c r="S27" s="581" t="n">
        <x:v>3.984211</x:v>
      </x:c>
      <x:c r="T27" s="581" t="n">
        <x:v>5.289474</x:v>
      </x:c>
      <x:c r="U27" s="581" t="n">
        <x:v>8.952632</x:v>
      </x:c>
      <x:c r="V27" s="581" t="n">
        <x:v>13.778947</x:v>
      </x:c>
      <x:c r="W27" s="581" t="n">
        <x:v>18.510526</x:v>
      </x:c>
      <x:c r="X27" s="581" t="n">
        <x:v>22.542105</x:v>
      </x:c>
      <x:c r="Y27" s="581" t="n">
        <x:v>26.115789</x:v>
      </x:c>
      <x:c r="Z27" s="581" t="n">
        <x:v>27.357895</x:v>
      </x:c>
      <x:c r="AA27" s="581" t="n">
        <x:v>23.747368</x:v>
      </x:c>
      <x:c r="AB27" s="581" t="n">
        <x:v>17.626316</x:v>
      </x:c>
      <x:c r="AC27" s="581" t="n">
        <x:v>11.584211</x:v>
      </x:c>
      <x:c r="AD27" s="581" t="n">
        <x:v>6.1</x:v>
      </x:c>
      <x:c r="AE27" s="563" t="n">
        <x:f>SUM(G27:R27)</x:f>
        <x:v>1798.913682</x:v>
      </x:c>
      <x:c r="AF27" s="20" t="str">
        <x:v>https://re.jrc.ec.europa.eu/api/v5_3/MRcalc?lat=35.180210&amp;lon=136.906579&amp;raddatabase=PVGIS-ERA5&amp;startyear=2005&amp;endyear=2023&amp;selectrad=1&amp;angle=30&amp;aspect=0&amp;avtemp=1&amp;usehorizon=0&amp;outputformat=json</x:v>
      </x:c>
      <x:c r="AG27" s="20" t="str">
        <x:v>fb1a139989091b3cf8305ef5c38829be3f843a94d935eada768d63c28079b054</x:v>
      </x:c>
      <x:c r="AH27" s="582" t="n">
        <x:v>46262.63649305556</x:v>
      </x:c>
      <x:c r="AI27" s="20" t="str">
        <x:v>PVGIS-ERA5 2005-2023</x:v>
      </x:c>
      <x:c r="AJ27" s="20" t="str">
        <x:v>pmtiles://https://cyberjapandata.gsi.go.jp/xyz/optimal_bvmap-v1/optimal_bvmap-v1.pmtiles/14/14422/6479</x:v>
      </x:c>
    </x:row>
    <x:row r="28">
      <x:c r="A28" s="20" t="str">
        <x:v>三重県</x:v>
      </x:c>
      <x:c r="B28" s="20" t="str">
        <x:v>24</x:v>
      </x:c>
      <x:c r="C28" s="20" t="str">
        <x:v>三重県庁（津市）</x:v>
      </x:c>
      <x:c r="D28" s="192" t="n">
        <x:v>34.73027848</x:v>
      </x:c>
      <x:c r="E28" s="192" t="n">
        <x:v>136.50860846</x:v>
      </x:c>
      <x:c r="F28" s="580" t="n">
        <x:v>15</x:v>
      </x:c>
      <x:c r="G28" s="581" t="n">
        <x:v>143.454737</x:v>
      </x:c>
      <x:c r="H28" s="581" t="n">
        <x:v>141.293158</x:v>
      </x:c>
      <x:c r="I28" s="581" t="n">
        <x:v>172.816316</x:v>
      </x:c>
      <x:c r="J28" s="581" t="n">
        <x:v>169.736316</x:v>
      </x:c>
      <x:c r="K28" s="581" t="n">
        <x:v>171.567368</x:v>
      </x:c>
      <x:c r="L28" s="581" t="n">
        <x:v>146.983684</x:v>
      </x:c>
      <x:c r="M28" s="581" t="n">
        <x:v>156.097368</x:v>
      </x:c>
      <x:c r="N28" s="581" t="n">
        <x:v>173.326316</x:v>
      </x:c>
      <x:c r="O28" s="581" t="n">
        <x:v>148.306842</x:v>
      </x:c>
      <x:c r="P28" s="581" t="n">
        <x:v>141.853158</x:v>
      </x:c>
      <x:c r="Q28" s="581" t="n">
        <x:v>129.834211</x:v>
      </x:c>
      <x:c r="R28" s="581" t="n">
        <x:v>134.416316</x:v>
      </x:c>
      <x:c r="S28" s="581" t="n">
        <x:v>5.147368</x:v>
      </x:c>
      <x:c r="T28" s="581" t="n">
        <x:v>6.063158</x:v>
      </x:c>
      <x:c r="U28" s="581" t="n">
        <x:v>9.321053</x:v>
      </x:c>
      <x:c r="V28" s="581" t="n">
        <x:v>13.857895</x:v>
      </x:c>
      <x:c r="W28" s="581" t="n">
        <x:v>18.452632</x:v>
      </x:c>
      <x:c r="X28" s="581" t="n">
        <x:v>22.273684</x:v>
      </x:c>
      <x:c r="Y28" s="581" t="n">
        <x:v>26.247368</x:v>
      </x:c>
      <x:c r="Z28" s="581" t="n">
        <x:v>27.142105</x:v>
      </x:c>
      <x:c r="AA28" s="581" t="n">
        <x:v>23.731579</x:v>
      </x:c>
      <x:c r="AB28" s="581" t="n">
        <x:v>18.152632</x:v>
      </x:c>
      <x:c r="AC28" s="581" t="n">
        <x:v>12.657895</x:v>
      </x:c>
      <x:c r="AD28" s="581" t="n">
        <x:v>7.221053</x:v>
      </x:c>
      <x:c r="AE28" s="563" t="n">
        <x:f>SUM(G28:R28)</x:f>
        <x:v>1829.68579</x:v>
      </x:c>
      <x:c r="AF28" s="20" t="str">
        <x:v>https://re.jrc.ec.europa.eu/api/v5_3/MRcalc?lat=34.730278&amp;lon=136.508608&amp;raddatabase=PVGIS-ERA5&amp;startyear=2005&amp;endyear=2023&amp;selectrad=1&amp;angle=30&amp;aspect=0&amp;avtemp=1&amp;usehorizon=0&amp;outputformat=json</x:v>
      </x:c>
      <x:c r="AG28" s="20" t="str">
        <x:v>ff8ab65077a800426e6926ed6a93ae7efe426105db541191bcba7b4676138bc8</x:v>
      </x:c>
      <x:c r="AH28" s="582" t="n">
        <x:v>46262.63649305556</x:v>
      </x:c>
      <x:c r="AI28" s="20" t="str">
        <x:v>PVGIS-ERA5 2005-2023</x:v>
      </x:c>
      <x:c r="AJ28" s="20" t="str">
        <x:v>pmtiles://https://cyberjapandata.gsi.go.jp/xyz/optimal_bvmap-v1/optimal_bvmap-v1.pmtiles/14/14404/6504</x:v>
      </x:c>
    </x:row>
    <x:row r="29">
      <x:c r="A29" s="20" t="str">
        <x:v>滋賀県</x:v>
      </x:c>
      <x:c r="B29" s="20" t="str">
        <x:v>25</x:v>
      </x:c>
      <x:c r="C29" s="20" t="str">
        <x:v>滋賀県庁（大津市）</x:v>
      </x:c>
      <x:c r="D29" s="192" t="n">
        <x:v>35.00451496</x:v>
      </x:c>
      <x:c r="E29" s="192" t="n">
        <x:v>135.86856365</x:v>
      </x:c>
      <x:c r="F29" s="580" t="n">
        <x:v>104</x:v>
      </x:c>
      <x:c r="G29" s="581" t="n">
        <x:v>114.890526</x:v>
      </x:c>
      <x:c r="H29" s="581" t="n">
        <x:v>119.202105</x:v>
      </x:c>
      <x:c r="I29" s="581" t="n">
        <x:v>154.427368</x:v>
      </x:c>
      <x:c r="J29" s="581" t="n">
        <x:v>159.375789</x:v>
      </x:c>
      <x:c r="K29" s="581" t="n">
        <x:v>164.238947</x:v>
      </x:c>
      <x:c r="L29" s="581" t="n">
        <x:v>141.835789</x:v>
      </x:c>
      <x:c r="M29" s="581" t="n">
        <x:v>142.064211</x:v>
      </x:c>
      <x:c r="N29" s="581" t="n">
        <x:v>162.056842</x:v>
      </x:c>
      <x:c r="O29" s="581" t="n">
        <x:v>138.297368</x:v>
      </x:c>
      <x:c r="P29" s="581" t="n">
        <x:v>136.317368</x:v>
      </x:c>
      <x:c r="Q29" s="581" t="n">
        <x:v>116.971053</x:v>
      </x:c>
      <x:c r="R29" s="581" t="n">
        <x:v>109.942632</x:v>
      </x:c>
      <x:c r="S29" s="581" t="n">
        <x:v>2.663158</x:v>
      </x:c>
      <x:c r="T29" s="581" t="n">
        <x:v>3.773684</x:v>
      </x:c>
      <x:c r="U29" s="581" t="n">
        <x:v>7.410526</x:v>
      </x:c>
      <x:c r="V29" s="581" t="n">
        <x:v>12.305263</x:v>
      </x:c>
      <x:c r="W29" s="581" t="n">
        <x:v>17.284211</x:v>
      </x:c>
      <x:c r="X29" s="581" t="n">
        <x:v>21.389474</x:v>
      </x:c>
      <x:c r="Y29" s="581" t="n">
        <x:v>25.173684</x:v>
      </x:c>
      <x:c r="Z29" s="581" t="n">
        <x:v>26.221053</x:v>
      </x:c>
      <x:c r="AA29" s="581" t="n">
        <x:v>22.257895</x:v>
      </x:c>
      <x:c r="AB29" s="581" t="n">
        <x:v>16.236842</x:v>
      </x:c>
      <x:c r="AC29" s="581" t="n">
        <x:v>10.505263</x:v>
      </x:c>
      <x:c r="AD29" s="581" t="n">
        <x:v>4.8</x:v>
      </x:c>
      <x:c r="AE29" s="563" t="n">
        <x:f>SUM(G29:R29)</x:f>
        <x:v>1659.6199980000001</x:v>
      </x:c>
      <x:c r="AF29" s="20" t="str">
        <x:v>https://re.jrc.ec.europa.eu/api/v5_3/MRcalc?lat=35.004515&amp;lon=135.868564&amp;raddatabase=PVGIS-ERA5&amp;startyear=2005&amp;endyear=2023&amp;selectrad=1&amp;angle=30&amp;aspect=0&amp;avtemp=1&amp;usehorizon=0&amp;outputformat=json</x:v>
      </x:c>
      <x:c r="AG29" s="20" t="str">
        <x:v>25d85e95e8e680bc89a1f733a5a0585527c31ec501ae17587e52181679caffd5</x:v>
      </x:c>
      <x:c r="AH29" s="582" t="n">
        <x:v>46262.63649305556</x:v>
      </x:c>
      <x:c r="AI29" s="20" t="str">
        <x:v>PVGIS-ERA5 2005-2023</x:v>
      </x:c>
      <x:c r="AJ29" s="20" t="str">
        <x:v>pmtiles://https://cyberjapandata.gsi.go.jp/xyz/optimal_bvmap-v1/optimal_bvmap-v1.pmtiles/14/14375/6489</x:v>
      </x:c>
    </x:row>
    <x:row r="30">
      <x:c r="A30" s="20" t="str">
        <x:v>京都府</x:v>
      </x:c>
      <x:c r="B30" s="20" t="str">
        <x:v>26</x:v>
      </x:c>
      <x:c r="C30" s="20" t="str">
        <x:v>京都府庁（京都市）</x:v>
      </x:c>
      <x:c r="D30" s="192" t="n">
        <x:v>35.02124572</x:v>
      </x:c>
      <x:c r="E30" s="192" t="n">
        <x:v>135.75561047</x:v>
      </x:c>
      <x:c r="F30" s="580" t="n">
        <x:v>54</x:v>
      </x:c>
      <x:c r="G30" s="581" t="n">
        <x:v>114.955263</x:v>
      </x:c>
      <x:c r="H30" s="581" t="n">
        <x:v>119.242105</x:v>
      </x:c>
      <x:c r="I30" s="581" t="n">
        <x:v>154.444737</x:v>
      </x:c>
      <x:c r="J30" s="581" t="n">
        <x:v>159.395789</x:v>
      </x:c>
      <x:c r="K30" s="581" t="n">
        <x:v>164.261579</x:v>
      </x:c>
      <x:c r="L30" s="581" t="n">
        <x:v>141.851579</x:v>
      </x:c>
      <x:c r="M30" s="581" t="n">
        <x:v>142.079474</x:v>
      </x:c>
      <x:c r="N30" s="581" t="n">
        <x:v>162.072632</x:v>
      </x:c>
      <x:c r="O30" s="581" t="n">
        <x:v>138.326842</x:v>
      </x:c>
      <x:c r="P30" s="581" t="n">
        <x:v>136.355263</x:v>
      </x:c>
      <x:c r="Q30" s="581" t="n">
        <x:v>117.038947</x:v>
      </x:c>
      <x:c r="R30" s="581" t="n">
        <x:v>110.047895</x:v>
      </x:c>
      <x:c r="S30" s="581" t="n">
        <x:v>2.789474</x:v>
      </x:c>
      <x:c r="T30" s="581" t="n">
        <x:v>3.910526</x:v>
      </x:c>
      <x:c r="U30" s="581" t="n">
        <x:v>7.547368</x:v>
      </x:c>
      <x:c r="V30" s="581" t="n">
        <x:v>12.405263</x:v>
      </x:c>
      <x:c r="W30" s="581" t="n">
        <x:v>17.373684</x:v>
      </x:c>
      <x:c r="X30" s="581" t="n">
        <x:v>21.463158</x:v>
      </x:c>
      <x:c r="Y30" s="581" t="n">
        <x:v>25.236842</x:v>
      </x:c>
      <x:c r="Z30" s="581" t="n">
        <x:v>26.284211</x:v>
      </x:c>
      <x:c r="AA30" s="581" t="n">
        <x:v>22.336842</x:v>
      </x:c>
      <x:c r="AB30" s="581" t="n">
        <x:v>16.347368</x:v>
      </x:c>
      <x:c r="AC30" s="581" t="n">
        <x:v>10.636842</x:v>
      </x:c>
      <x:c r="AD30" s="581" t="n">
        <x:v>4.931579</x:v>
      </x:c>
      <x:c r="AE30" s="563" t="n">
        <x:f>SUM(G30:R30)</x:f>
        <x:v>1660.072105</x:v>
      </x:c>
      <x:c r="AF30" s="20" t="str">
        <x:v>https://re.jrc.ec.europa.eu/api/v5_3/MRcalc?lat=35.021246&amp;lon=135.755610&amp;raddatabase=PVGIS-ERA5&amp;startyear=2005&amp;endyear=2023&amp;selectrad=1&amp;angle=30&amp;aspect=0&amp;avtemp=1&amp;usehorizon=0&amp;outputformat=json</x:v>
      </x:c>
      <x:c r="AG30" s="20" t="str">
        <x:v>952a7df92b731d275c576e8227706b89aff70b924e473574cd441fcfb8ca7a73</x:v>
      </x:c>
      <x:c r="AH30" s="582" t="n">
        <x:v>46262.63667824074</x:v>
      </x:c>
      <x:c r="AI30" s="20" t="str">
        <x:v>PVGIS-ERA5 2005-2023</x:v>
      </x:c>
      <x:c r="AJ30" s="20" t="str">
        <x:v>pmtiles://https://cyberjapandata.gsi.go.jp/xyz/optimal_bvmap-v1/optimal_bvmap-v1.pmtiles/14/14370/6488</x:v>
      </x:c>
    </x:row>
    <x:row r="31">
      <x:c r="A31" s="20" t="str">
        <x:v>大阪府</x:v>
      </x:c>
      <x:c r="B31" s="20" t="str">
        <x:v>27</x:v>
      </x:c>
      <x:c r="C31" s="20" t="str">
        <x:v>大阪府庁（大阪市）</x:v>
      </x:c>
      <x:c r="D31" s="192" t="n">
        <x:v>34.68634725</x:v>
      </x:c>
      <x:c r="E31" s="192" t="n">
        <x:v>135.52003205</x:v>
      </x:c>
      <x:c r="F31" s="580" t="n">
        <x:v>23</x:v>
      </x:c>
      <x:c r="G31" s="581" t="n">
        <x:v>130.670526</x:v>
      </x:c>
      <x:c r="H31" s="581" t="n">
        <x:v>130.308947</x:v>
      </x:c>
      <x:c r="I31" s="581" t="n">
        <x:v>162.844211</x:v>
      </x:c>
      <x:c r="J31" s="581" t="n">
        <x:v>162.384211</x:v>
      </x:c>
      <x:c r="K31" s="581" t="n">
        <x:v>164.170526</x:v>
      </x:c>
      <x:c r="L31" s="581" t="n">
        <x:v>136.747895</x:v>
      </x:c>
      <x:c r="M31" s="581" t="n">
        <x:v>141.891579</x:v>
      </x:c>
      <x:c r="N31" s="581" t="n">
        <x:v>159.729474</x:v>
      </x:c>
      <x:c r="O31" s="581" t="n">
        <x:v>136.923158</x:v>
      </x:c>
      <x:c r="P31" s="581" t="n">
        <x:v>138.691053</x:v>
      </x:c>
      <x:c r="Q31" s="581" t="n">
        <x:v>124.351579</x:v>
      </x:c>
      <x:c r="R31" s="581" t="n">
        <x:v>125.127895</x:v>
      </x:c>
      <x:c r="S31" s="581" t="n">
        <x:v>3.710526</x:v>
      </x:c>
      <x:c r="T31" s="581" t="n">
        <x:v>4.768421</x:v>
      </x:c>
      <x:c r="U31" s="581" t="n">
        <x:v>8.3</x:v>
      </x:c>
      <x:c r="V31" s="581" t="n">
        <x:v>13.231579</x:v>
      </x:c>
      <x:c r="W31" s="581" t="n">
        <x:v>18.173684</x:v>
      </x:c>
      <x:c r="X31" s="581" t="n">
        <x:v>22.231579</x:v>
      </x:c>
      <x:c r="Y31" s="581" t="n">
        <x:v>25.915789</x:v>
      </x:c>
      <x:c r="Z31" s="581" t="n">
        <x:v>27.226316</x:v>
      </x:c>
      <x:c r="AA31" s="581" t="n">
        <x:v>23.289474</x:v>
      </x:c>
      <x:c r="AB31" s="581" t="n">
        <x:v>17.142105</x:v>
      </x:c>
      <x:c r="AC31" s="581" t="n">
        <x:v>11.331579</x:v>
      </x:c>
      <x:c r="AD31" s="581" t="n">
        <x:v>5.726316</x:v>
      </x:c>
      <x:c r="AE31" s="563" t="n">
        <x:f>SUM(G31:R31)</x:f>
        <x:v>1713.841054</x:v>
      </x:c>
      <x:c r="AF31" s="20" t="str">
        <x:v>https://re.jrc.ec.europa.eu/api/v5_3/MRcalc?lat=34.686347&amp;lon=135.520032&amp;raddatabase=PVGIS-ERA5&amp;startyear=2005&amp;endyear=2023&amp;selectrad=1&amp;angle=30&amp;aspect=0&amp;avtemp=1&amp;usehorizon=0&amp;outputformat=json</x:v>
      </x:c>
      <x:c r="AG31" s="20" t="str">
        <x:v>24d8238a3c0cee8dd1dc8bf268088f5a6bdcd8126e587a65be18311b282876cc</x:v>
      </x:c>
      <x:c r="AH31" s="582" t="n">
        <x:v>46262.63667824074</x:v>
      </x:c>
      <x:c r="AI31" s="20" t="str">
        <x:v>PVGIS-ERA5 2005-2023</x:v>
      </x:c>
      <x:c r="AJ31" s="20" t="str">
        <x:v>pmtiles://https://cyberjapandata.gsi.go.jp/xyz/optimal_bvmap-v1/optimal_bvmap-v1.pmtiles/14/14359/6507</x:v>
      </x:c>
    </x:row>
    <x:row r="32">
      <x:c r="A32" s="20" t="str">
        <x:v>兵庫県</x:v>
      </x:c>
      <x:c r="B32" s="20" t="str">
        <x:v>28</x:v>
      </x:c>
      <x:c r="C32" s="20" t="str">
        <x:v>兵庫県庁（神戸市）</x:v>
      </x:c>
      <x:c r="D32" s="192" t="n">
        <x:v>34.69126101</x:v>
      </x:c>
      <x:c r="E32" s="192" t="n">
        <x:v>135.18307686</x:v>
      </x:c>
      <x:c r="F32" s="580" t="n">
        <x:v>28</x:v>
      </x:c>
      <x:c r="G32" s="581" t="n">
        <x:v>130.260526</x:v>
      </x:c>
      <x:c r="H32" s="581" t="n">
        <x:v>130.794211</x:v>
      </x:c>
      <x:c r="I32" s="581" t="n">
        <x:v>165.479474</x:v>
      </x:c>
      <x:c r="J32" s="581" t="n">
        <x:v>165.788421</x:v>
      </x:c>
      <x:c r="K32" s="581" t="n">
        <x:v>167.145789</x:v>
      </x:c>
      <x:c r="L32" s="581" t="n">
        <x:v>140.805789</x:v>
      </x:c>
      <x:c r="M32" s="581" t="n">
        <x:v>146.97</x:v>
      </x:c>
      <x:c r="N32" s="581" t="n">
        <x:v>165.408947</x:v>
      </x:c>
      <x:c r="O32" s="581" t="n">
        <x:v>144.16</x:v>
      </x:c>
      <x:c r="P32" s="581" t="n">
        <x:v>144.849474</x:v>
      </x:c>
      <x:c r="Q32" s="581" t="n">
        <x:v>125.006842</x:v>
      </x:c>
      <x:c r="R32" s="581" t="n">
        <x:v>122.510526</x:v>
      </x:c>
      <x:c r="S32" s="581" t="n">
        <x:v>5.636842</x:v>
      </x:c>
      <x:c r="T32" s="581" t="n">
        <x:v>6.321053</x:v>
      </x:c>
      <x:c r="U32" s="581" t="n">
        <x:v>9.810526</x:v>
      </x:c>
      <x:c r="V32" s="581" t="n">
        <x:v>14.794737</x:v>
      </x:c>
      <x:c r="W32" s="581" t="n">
        <x:v>19.763158</x:v>
      </x:c>
      <x:c r="X32" s="581" t="n">
        <x:v>23.521053</x:v>
      </x:c>
      <x:c r="Y32" s="581" t="n">
        <x:v>27.4</x:v>
      </x:c>
      <x:c r="Z32" s="581" t="n">
        <x:v>28.547368</x:v>
      </x:c>
      <x:c r="AA32" s="581" t="n">
        <x:v>24.852632</x:v>
      </x:c>
      <x:c r="AB32" s="581" t="n">
        <x:v>19.047368</x:v>
      </x:c>
      <x:c r="AC32" s="581" t="n">
        <x:v>13.342105</x:v>
      </x:c>
      <x:c r="AD32" s="581" t="n">
        <x:v>7.863158</x:v>
      </x:c>
      <x:c r="AE32" s="563" t="n">
        <x:f>SUM(G32:R32)</x:f>
        <x:v>1749.1799990000002</x:v>
      </x:c>
      <x:c r="AF32" s="20" t="str">
        <x:v>https://re.jrc.ec.europa.eu/api/v5_3/MRcalc?lat=34.691261&amp;lon=135.183077&amp;raddatabase=PVGIS-ERA5&amp;startyear=2005&amp;endyear=2023&amp;selectrad=1&amp;angle=30&amp;aspect=0&amp;avtemp=1&amp;usehorizon=0&amp;outputformat=json</x:v>
      </x:c>
      <x:c r="AG32" s="20" t="str">
        <x:v>af29dfb55f0bbfeb6e461e862ee20604e2668949d167beed57b6990001998049</x:v>
      </x:c>
      <x:c r="AH32" s="582" t="n">
        <x:v>46262.63667824074</x:v>
      </x:c>
      <x:c r="AI32" s="20" t="str">
        <x:v>PVGIS-ERA5 2005-2023</x:v>
      </x:c>
      <x:c r="AJ32" s="20" t="str">
        <x:v>pmtiles://https://cyberjapandata.gsi.go.jp/xyz/optimal_bvmap-v1/optimal_bvmap-v1.pmtiles/14/14344/6506</x:v>
      </x:c>
    </x:row>
    <x:row r="33">
      <x:c r="A33" s="20" t="str">
        <x:v>奈良県</x:v>
      </x:c>
      <x:c r="B33" s="20" t="str">
        <x:v>29</x:v>
      </x:c>
      <x:c r="C33" s="20" t="str">
        <x:v>奈良県庁（奈良市）</x:v>
      </x:c>
      <x:c r="D33" s="192" t="n">
        <x:v>34.68527536</x:v>
      </x:c>
      <x:c r="E33" s="192" t="n">
        <x:v>135.83285809</x:v>
      </x:c>
      <x:c r="F33" s="580" t="n">
        <x:v>90</x:v>
      </x:c>
      <x:c r="G33" s="581" t="n">
        <x:v>130.879474</x:v>
      </x:c>
      <x:c r="H33" s="581" t="n">
        <x:v>130.275789</x:v>
      </x:c>
      <x:c r="I33" s="581" t="n">
        <x:v>161.615263</x:v>
      </x:c>
      <x:c r="J33" s="581" t="n">
        <x:v>160.692105</x:v>
      </x:c>
      <x:c r="K33" s="581" t="n">
        <x:v>162.651579</x:v>
      </x:c>
      <x:c r="L33" s="581" t="n">
        <x:v>134.795789</x:v>
      </x:c>
      <x:c r="M33" s="581" t="n">
        <x:v>140.148421</x:v>
      </x:c>
      <x:c r="N33" s="581" t="n">
        <x:v>157.500526</x:v>
      </x:c>
      <x:c r="O33" s="581" t="n">
        <x:v>133.714737</x:v>
      </x:c>
      <x:c r="P33" s="581" t="n">
        <x:v>135.485789</x:v>
      </x:c>
      <x:c r="Q33" s="581" t="n">
        <x:v>123.84</x:v>
      </x:c>
      <x:c r="R33" s="581" t="n">
        <x:v>125.589474</x:v>
      </x:c>
      <x:c r="S33" s="581" t="n">
        <x:v>2.110526</x:v>
      </x:c>
      <x:c r="T33" s="581" t="n">
        <x:v>3.294737</x:v>
      </x:c>
      <x:c r="U33" s="581" t="n">
        <x:v>6.868421</x:v>
      </x:c>
      <x:c r="V33" s="581" t="n">
        <x:v>11.847368</x:v>
      </x:c>
      <x:c r="W33" s="581" t="n">
        <x:v>16.768421</x:v>
      </x:c>
      <x:c r="X33" s="581" t="n">
        <x:v>20.826316</x:v>
      </x:c>
      <x:c r="Y33" s="581" t="n">
        <x:v>24.605263</x:v>
      </x:c>
      <x:c r="Z33" s="581" t="n">
        <x:v>25.573684</x:v>
      </x:c>
      <x:c r="AA33" s="581" t="n">
        <x:v>21.784211</x:v>
      </x:c>
      <x:c r="AB33" s="581" t="n">
        <x:v>15.673684</x:v>
      </x:c>
      <x:c r="AC33" s="581" t="n">
        <x:v>9.752632</x:v>
      </x:c>
      <x:c r="AD33" s="581" t="n">
        <x:v>4.147368</x:v>
      </x:c>
      <x:c r="AE33" s="563" t="n">
        <x:f>SUM(G33:R33)</x:f>
        <x:v>1697.1889459999998</x:v>
      </x:c>
      <x:c r="AF33" s="20" t="str">
        <x:v>https://re.jrc.ec.europa.eu/api/v5_3/MRcalc?lat=34.685275&amp;lon=135.832858&amp;raddatabase=PVGIS-ERA5&amp;startyear=2005&amp;endyear=2023&amp;selectrad=1&amp;angle=30&amp;aspect=0&amp;avtemp=1&amp;usehorizon=0&amp;outputformat=json</x:v>
      </x:c>
      <x:c r="AG33" s="20" t="str">
        <x:v>4e432047bf625ab4607660387b85090fba2458aa109e02942db42409b305ff0e</x:v>
      </x:c>
      <x:c r="AH33" s="582" t="n">
        <x:v>46262.63667824074</x:v>
      </x:c>
      <x:c r="AI33" s="20" t="str">
        <x:v>PVGIS-ERA5 2005-2023</x:v>
      </x:c>
      <x:c r="AJ33" s="20" t="str">
        <x:v>pmtiles://https://cyberjapandata.gsi.go.jp/xyz/optimal_bvmap-v1/optimal_bvmap-v1.pmtiles/14/14373/6507</x:v>
      </x:c>
    </x:row>
    <x:row r="34">
      <x:c r="A34" s="20" t="str">
        <x:v>和歌山県</x:v>
      </x:c>
      <x:c r="B34" s="20" t="str">
        <x:v>30</x:v>
      </x:c>
      <x:c r="C34" s="20" t="str">
        <x:v>和歌山県庁（和歌山市）</x:v>
      </x:c>
      <x:c r="D34" s="192" t="n">
        <x:v>34.22611207</x:v>
      </x:c>
      <x:c r="E34" s="192" t="n">
        <x:v>135.16749859</x:v>
      </x:c>
      <x:c r="F34" s="580" t="n">
        <x:v>14</x:v>
      </x:c>
      <x:c r="G34" s="581" t="n">
        <x:v>130.485263</x:v>
      </x:c>
      <x:c r="H34" s="581" t="n">
        <x:v>132.025263</x:v>
      </x:c>
      <x:c r="I34" s="581" t="n">
        <x:v>167.986842</x:v>
      </x:c>
      <x:c r="J34" s="581" t="n">
        <x:v>167.506842</x:v>
      </x:c>
      <x:c r="K34" s="581" t="n">
        <x:v>167.621579</x:v>
      </x:c>
      <x:c r="L34" s="581" t="n">
        <x:v>137.756842</x:v>
      </x:c>
      <x:c r="M34" s="581" t="n">
        <x:v>151.328947</x:v>
      </x:c>
      <x:c r="N34" s="581" t="n">
        <x:v>168.066316</x:v>
      </x:c>
      <x:c r="O34" s="581" t="n">
        <x:v>145.402105</x:v>
      </x:c>
      <x:c r="P34" s="581" t="n">
        <x:v>145.502632</x:v>
      </x:c>
      <x:c r="Q34" s="581" t="n">
        <x:v>127.692105</x:v>
      </x:c>
      <x:c r="R34" s="581" t="n">
        <x:v>122.192105</x:v>
      </x:c>
      <x:c r="S34" s="581" t="n">
        <x:v>5.568421</x:v>
      </x:c>
      <x:c r="T34" s="581" t="n">
        <x:v>6.342105</x:v>
      </x:c>
      <x:c r="U34" s="581" t="n">
        <x:v>9.442105</x:v>
      </x:c>
      <x:c r="V34" s="581" t="n">
        <x:v>13.668421</x:v>
      </x:c>
      <x:c r="W34" s="581" t="n">
        <x:v>17.915789</x:v>
      </x:c>
      <x:c r="X34" s="581" t="n">
        <x:v>21.668421</x:v>
      </x:c>
      <x:c r="Y34" s="581" t="n">
        <x:v>25.336842</x:v>
      </x:c>
      <x:c r="Z34" s="581" t="n">
        <x:v>26.610526</x:v>
      </x:c>
      <x:c r="AA34" s="581" t="n">
        <x:v>23.463158</x:v>
      </x:c>
      <x:c r="AB34" s="581" t="n">
        <x:v>18.105263</x:v>
      </x:c>
      <x:c r="AC34" s="581" t="n">
        <x:v>12.852632</x:v>
      </x:c>
      <x:c r="AD34" s="581" t="n">
        <x:v>7.626316</x:v>
      </x:c>
      <x:c r="AE34" s="563" t="n">
        <x:f>SUM(G34:R34)</x:f>
        <x:v>1763.566841</x:v>
      </x:c>
      <x:c r="AF34" s="20" t="str">
        <x:v>https://re.jrc.ec.europa.eu/api/v5_3/MRcalc?lat=34.226112&amp;lon=135.167499&amp;raddatabase=PVGIS-ERA5&amp;startyear=2005&amp;endyear=2023&amp;selectrad=1&amp;angle=30&amp;aspect=0&amp;avtemp=1&amp;usehorizon=0&amp;outputformat=json</x:v>
      </x:c>
      <x:c r="AG34" s="20" t="str">
        <x:v>156b3ab905a22e6625d490518f53f1baccbf6923bacb24276e8497409941ed4b</x:v>
      </x:c>
      <x:c r="AH34" s="582" t="n">
        <x:v>46262.63667824074</x:v>
      </x:c>
      <x:c r="AI34" s="20" t="str">
        <x:v>PVGIS-ERA5 2005-2023</x:v>
      </x:c>
      <x:c r="AJ34" s="20" t="str">
        <x:v>pmtiles://https://cyberjapandata.gsi.go.jp/xyz/optimal_bvmap-v1/optimal_bvmap-v1.pmtiles/14/14343/6532</x:v>
      </x:c>
    </x:row>
    <x:row r="35">
      <x:c r="A35" s="20" t="str">
        <x:v>鳥取県</x:v>
      </x:c>
      <x:c r="B35" s="20" t="str">
        <x:v>31</x:v>
      </x:c>
      <x:c r="C35" s="20" t="str">
        <x:v>鳥取県庁（鳥取市）</x:v>
      </x:c>
      <x:c r="D35" s="192" t="n">
        <x:v>35.5034524</x:v>
      </x:c>
      <x:c r="E35" s="192" t="n">
        <x:v>134.238258</x:v>
      </x:c>
      <x:c r="F35" s="580" t="n">
        <x:v>10</x:v>
      </x:c>
      <x:c r="G35" s="581" t="n">
        <x:v>104.400526</x:v>
      </x:c>
      <x:c r="H35" s="581" t="n">
        <x:v>112.703158</x:v>
      </x:c>
      <x:c r="I35" s="581" t="n">
        <x:v>152.834211</x:v>
      </x:c>
      <x:c r="J35" s="581" t="n">
        <x:v>162.003684</x:v>
      </x:c>
      <x:c r="K35" s="581" t="n">
        <x:v>167.266842</x:v>
      </x:c>
      <x:c r="L35" s="581" t="n">
        <x:v>144.3</x:v>
      </x:c>
      <x:c r="M35" s="581" t="n">
        <x:v>140.805263</x:v>
      </x:c>
      <x:c r="N35" s="581" t="n">
        <x:v>154.924211</x:v>
      </x:c>
      <x:c r="O35" s="581" t="n">
        <x:v>129.884737</x:v>
      </x:c>
      <x:c r="P35" s="581" t="n">
        <x:v>131.908421</x:v>
      </x:c>
      <x:c r="Q35" s="581" t="n">
        <x:v>106.025789</x:v>
      </x:c>
      <x:c r="R35" s="581" t="n">
        <x:v>95.342105</x:v>
      </x:c>
      <x:c r="S35" s="581" t="n">
        <x:v>4.042105</x:v>
      </x:c>
      <x:c r="T35" s="581" t="n">
        <x:v>4.526316</x:v>
      </x:c>
      <x:c r="U35" s="581" t="n">
        <x:v>7.621053</x:v>
      </x:c>
      <x:c r="V35" s="581" t="n">
        <x:v>12.168421</x:v>
      </x:c>
      <x:c r="W35" s="581" t="n">
        <x:v>16.989474</x:v>
      </x:c>
      <x:c r="X35" s="581" t="n">
        <x:v>21.236842</x:v>
      </x:c>
      <x:c r="Y35" s="581" t="n">
        <x:v>25.221053</x:v>
      </x:c>
      <x:c r="Z35" s="581" t="n">
        <x:v>26.3</x:v>
      </x:c>
      <x:c r="AA35" s="581" t="n">
        <x:v>22.236842</x:v>
      </x:c>
      <x:c r="AB35" s="581" t="n">
        <x:v>16.815789</x:v>
      </x:c>
      <x:c r="AC35" s="581" t="n">
        <x:v>11.663158</x:v>
      </x:c>
      <x:c r="AD35" s="581" t="n">
        <x:v>6.310526</x:v>
      </x:c>
      <x:c r="AE35" s="563" t="n">
        <x:f>SUM(G35:R35)</x:f>
        <x:v>1602.3989470000001</x:v>
      </x:c>
      <x:c r="AF35" s="20" t="str">
        <x:v>https://re.jrc.ec.europa.eu/api/v5_3/MRcalc?lat=35.503452&amp;lon=134.238258&amp;raddatabase=PVGIS-ERA5&amp;startyear=2005&amp;endyear=2023&amp;selectrad=1&amp;angle=30&amp;aspect=0&amp;avtemp=1&amp;usehorizon=0&amp;outputformat=json</x:v>
      </x:c>
      <x:c r="AG35" s="20" t="str">
        <x:v>372157c718b2d718728a1db46a8350806fe263204c5fd53b04104441b7209fdc</x:v>
      </x:c>
      <x:c r="AH35" s="582" t="n">
        <x:v>46262.63686342593</x:v>
      </x:c>
      <x:c r="AI35" s="20" t="str">
        <x:v>PVGIS-ERA5 2005-2023</x:v>
      </x:c>
      <x:c r="AJ35" s="20" t="str">
        <x:v>pmtiles://https://cyberjapandata.gsi.go.jp/xyz/optimal_bvmap-v1/optimal_bvmap-v1.pmtiles/14/14301/6461</x:v>
      </x:c>
    </x:row>
    <x:row r="36">
      <x:c r="A36" s="20" t="str">
        <x:v>島根県</x:v>
      </x:c>
      <x:c r="B36" s="20" t="str">
        <x:v>32</x:v>
      </x:c>
      <x:c r="C36" s="20" t="str">
        <x:v>島根県庁（松江市）</x:v>
      </x:c>
      <x:c r="D36" s="192" t="n">
        <x:v>35.47229607</x:v>
      </x:c>
      <x:c r="E36" s="192" t="n">
        <x:v>133.05051684</x:v>
      </x:c>
      <x:c r="F36" s="580" t="n">
        <x:v>5</x:v>
      </x:c>
      <x:c r="G36" s="581" t="n">
        <x:v>109.973684</x:v>
      </x:c>
      <x:c r="H36" s="581" t="n">
        <x:v>118.634737</x:v>
      </x:c>
      <x:c r="I36" s="581" t="n">
        <x:v>158.056842</x:v>
      </x:c>
      <x:c r="J36" s="581" t="n">
        <x:v>166.132105</x:v>
      </x:c>
      <x:c r="K36" s="581" t="n">
        <x:v>171.774737</x:v>
      </x:c>
      <x:c r="L36" s="581" t="n">
        <x:v>147.937895</x:v>
      </x:c>
      <x:c r="M36" s="581" t="n">
        <x:v>146.355263</x:v>
      </x:c>
      <x:c r="N36" s="581" t="n">
        <x:v>160.309474</x:v>
      </x:c>
      <x:c r="O36" s="581" t="n">
        <x:v>137.256842</x:v>
      </x:c>
      <x:c r="P36" s="581" t="n">
        <x:v>139.846842</x:v>
      </x:c>
      <x:c r="Q36" s="581" t="n">
        <x:v>111.852105</x:v>
      </x:c>
      <x:c r="R36" s="581" t="n">
        <x:v>99.522632</x:v>
      </x:c>
      <x:c r="S36" s="581" t="n">
        <x:v>3.878947</x:v>
      </x:c>
      <x:c r="T36" s="581" t="n">
        <x:v>4.6</x:v>
      </x:c>
      <x:c r="U36" s="581" t="n">
        <x:v>7.742105</x:v>
      </x:c>
      <x:c r="V36" s="581" t="n">
        <x:v>12.126316</x:v>
      </x:c>
      <x:c r="W36" s="581" t="n">
        <x:v>16.710526</x:v>
      </x:c>
      <x:c r="X36" s="581" t="n">
        <x:v>20.747368</x:v>
      </x:c>
      <x:c r="Y36" s="581" t="n">
        <x:v>24.668421</x:v>
      </x:c>
      <x:c r="Z36" s="581" t="n">
        <x:v>25.763158</x:v>
      </x:c>
      <x:c r="AA36" s="581" t="n">
        <x:v>21.878947</x:v>
      </x:c>
      <x:c r="AB36" s="581" t="n">
        <x:v>16.621053</x:v>
      </x:c>
      <x:c r="AC36" s="581" t="n">
        <x:v>11.478947</x:v>
      </x:c>
      <x:c r="AD36" s="581" t="n">
        <x:v>5.968421</x:v>
      </x:c>
      <x:c r="AE36" s="563" t="n">
        <x:f>SUM(G36:R36)</x:f>
        <x:v>1667.6531579999998</x:v>
      </x:c>
      <x:c r="AF36" s="20" t="str">
        <x:v>https://re.jrc.ec.europa.eu/api/v5_3/MRcalc?lat=35.472296&amp;lon=133.050517&amp;raddatabase=PVGIS-ERA5&amp;startyear=2005&amp;endyear=2023&amp;selectrad=1&amp;angle=30&amp;aspect=0&amp;avtemp=1&amp;usehorizon=0&amp;outputformat=json</x:v>
      </x:c>
      <x:c r="AG36" s="20" t="str">
        <x:v>3d677b82baad7744289c566b00903f7e70562e6e6e3fe1a9067bd491dd9f7b83</x:v>
      </x:c>
      <x:c r="AH36" s="582" t="n">
        <x:v>46262.63686342593</x:v>
      </x:c>
      <x:c r="AI36" s="20" t="str">
        <x:v>PVGIS-ERA5 2005-2023</x:v>
      </x:c>
      <x:c r="AJ36" s="20" t="str">
        <x:v>pmtiles://https://cyberjapandata.gsi.go.jp/xyz/optimal_bvmap-v1/optimal_bvmap-v1.pmtiles/14/14247/6463</x:v>
      </x:c>
    </x:row>
    <x:row r="37">
      <x:c r="A37" s="20" t="str">
        <x:v>岡山県</x:v>
      </x:c>
      <x:c r="B37" s="20" t="str">
        <x:v>33</x:v>
      </x:c>
      <x:c r="C37" s="20" t="str">
        <x:v>岡山県庁（岡山市）</x:v>
      </x:c>
      <x:c r="D37" s="192" t="n">
        <x:v>34.66174316</x:v>
      </x:c>
      <x:c r="E37" s="192" t="n">
        <x:v>133.93502891</x:v>
      </x:c>
      <x:c r="F37" s="580" t="n">
        <x:v>11</x:v>
      </x:c>
      <x:c r="G37" s="581" t="n">
        <x:v>127.953684</x:v>
      </x:c>
      <x:c r="H37" s="581" t="n">
        <x:v>128.668421</x:v>
      </x:c>
      <x:c r="I37" s="581" t="n">
        <x:v>163.835263</x:v>
      </x:c>
      <x:c r="J37" s="581" t="n">
        <x:v>167.137895</x:v>
      </x:c>
      <x:c r="K37" s="581" t="n">
        <x:v>169.211579</x:v>
      </x:c>
      <x:c r="L37" s="581" t="n">
        <x:v>139.820526</x:v>
      </x:c>
      <x:c r="M37" s="581" t="n">
        <x:v>147.595263</x:v>
      </x:c>
      <x:c r="N37" s="581" t="n">
        <x:v>162.91</x:v>
      </x:c>
      <x:c r="O37" s="581" t="n">
        <x:v>141.056316</x:v>
      </x:c>
      <x:c r="P37" s="581" t="n">
        <x:v>144.101579</x:v>
      </x:c>
      <x:c r="Q37" s="581" t="n">
        <x:v>124.101579</x:v>
      </x:c>
      <x:c r="R37" s="581" t="n">
        <x:v>121.876842</x:v>
      </x:c>
      <x:c r="S37" s="581" t="n">
        <x:v>5.636842</x:v>
      </x:c>
      <x:c r="T37" s="581" t="n">
        <x:v>6.457895</x:v>
      </x:c>
      <x:c r="U37" s="581" t="n">
        <x:v>9.657895</x:v>
      </x:c>
      <x:c r="V37" s="581" t="n">
        <x:v>14.073684</x:v>
      </x:c>
      <x:c r="W37" s="581" t="n">
        <x:v>18.657895</x:v>
      </x:c>
      <x:c r="X37" s="581" t="n">
        <x:v>22.510526</x:v>
      </x:c>
      <x:c r="Y37" s="581" t="n">
        <x:v>26.305263</x:v>
      </x:c>
      <x:c r="Z37" s="581" t="n">
        <x:v>27.657895</x:v>
      </x:c>
      <x:c r="AA37" s="581" t="n">
        <x:v>24.036842</x:v>
      </x:c>
      <x:c r="AB37" s="581" t="n">
        <x:v>18.484211</x:v>
      </x:c>
      <x:c r="AC37" s="581" t="n">
        <x:v>12.952632</x:v>
      </x:c>
      <x:c r="AD37" s="581" t="n">
        <x:v>7.521053</x:v>
      </x:c>
      <x:c r="AE37" s="563" t="n">
        <x:f>SUM(G37:R37)</x:f>
        <x:v>1738.2689469999996</x:v>
      </x:c>
      <x:c r="AF37" s="20" t="str">
        <x:v>https://re.jrc.ec.europa.eu/api/v5_3/MRcalc?lat=34.661743&amp;lon=133.935029&amp;raddatabase=PVGIS-ERA5&amp;startyear=2005&amp;endyear=2023&amp;selectrad=1&amp;angle=30&amp;aspect=0&amp;avtemp=1&amp;usehorizon=0&amp;outputformat=json</x:v>
      </x:c>
      <x:c r="AG37" s="20" t="str">
        <x:v>d1f68958cb834fbf786bbb176c180fa2ccd842aeb5c74656830f30e9ec9ddb3a</x:v>
      </x:c>
      <x:c r="AH37" s="582" t="n">
        <x:v>46262.63686342593</x:v>
      </x:c>
      <x:c r="AI37" s="20" t="str">
        <x:v>PVGIS-ERA5 2005-2023</x:v>
      </x:c>
      <x:c r="AJ37" s="20" t="str">
        <x:v>pmtiles://https://cyberjapandata.gsi.go.jp/xyz/optimal_bvmap-v1/optimal_bvmap-v1.pmtiles/14/14287/6508</x:v>
      </x:c>
    </x:row>
    <x:row r="38">
      <x:c r="A38" s="20" t="str">
        <x:v>広島県</x:v>
      </x:c>
      <x:c r="B38" s="20" t="str">
        <x:v>34</x:v>
      </x:c>
      <x:c r="C38" s="20" t="str">
        <x:v>広島県庁（広島市）</x:v>
      </x:c>
      <x:c r="D38" s="192" t="n">
        <x:v>34.39656129</x:v>
      </x:c>
      <x:c r="E38" s="192" t="n">
        <x:v>132.45964229</x:v>
      </x:c>
      <x:c r="F38" s="580" t="n">
        <x:v>14</x:v>
      </x:c>
      <x:c r="G38" s="581" t="n">
        <x:v>118.265789</x:v>
      </x:c>
      <x:c r="H38" s="581" t="n">
        <x:v>124.274211</x:v>
      </x:c>
      <x:c r="I38" s="581" t="n">
        <x:v>162.542105</x:v>
      </x:c>
      <x:c r="J38" s="581" t="n">
        <x:v>166.985263</x:v>
      </x:c>
      <x:c r="K38" s="581" t="n">
        <x:v>168.192105</x:v>
      </x:c>
      <x:c r="L38" s="581" t="n">
        <x:v>138.563158</x:v>
      </x:c>
      <x:c r="M38" s="581" t="n">
        <x:v>146.475789</x:v>
      </x:c>
      <x:c r="N38" s="581" t="n">
        <x:v>162.04</x:v>
      </x:c>
      <x:c r="O38" s="581" t="n">
        <x:v>142.791053</x:v>
      </x:c>
      <x:c r="P38" s="581" t="n">
        <x:v>148.516842</x:v>
      </x:c>
      <x:c r="Q38" s="581" t="n">
        <x:v>122.772632</x:v>
      </x:c>
      <x:c r="R38" s="581" t="n">
        <x:v>108.572105</x:v>
      </x:c>
      <x:c r="S38" s="581" t="n">
        <x:v>5.226316</x:v>
      </x:c>
      <x:c r="T38" s="581" t="n">
        <x:v>5.957895</x:v>
      </x:c>
      <x:c r="U38" s="581" t="n">
        <x:v>9.047368</x:v>
      </x:c>
      <x:c r="V38" s="581" t="n">
        <x:v>13.326316</x:v>
      </x:c>
      <x:c r="W38" s="581" t="n">
        <x:v>17.842105</x:v>
      </x:c>
      <x:c r="X38" s="581" t="n">
        <x:v>21.573684</x:v>
      </x:c>
      <x:c r="Y38" s="581" t="n">
        <x:v>25.305263</x:v>
      </x:c>
      <x:c r="Z38" s="581" t="n">
        <x:v>26.447368</x:v>
      </x:c>
      <x:c r="AA38" s="581" t="n">
        <x:v>23.168421</x:v>
      </x:c>
      <x:c r="AB38" s="581" t="n">
        <x:v>17.889474</x:v>
      </x:c>
      <x:c r="AC38" s="581" t="n">
        <x:v>12.515789</x:v>
      </x:c>
      <x:c r="AD38" s="581" t="n">
        <x:v>7.057895</x:v>
      </x:c>
      <x:c r="AE38" s="563" t="n">
        <x:f>SUM(G38:R38)</x:f>
        <x:v>1709.9910519999999</x:v>
      </x:c>
      <x:c r="AF38" s="20" t="str">
        <x:v>https://re.jrc.ec.europa.eu/api/v5_3/MRcalc?lat=34.396561&amp;lon=132.459642&amp;raddatabase=PVGIS-ERA5&amp;startyear=2005&amp;endyear=2023&amp;selectrad=1&amp;angle=30&amp;aspect=0&amp;avtemp=1&amp;usehorizon=0&amp;outputformat=json</x:v>
      </x:c>
      <x:c r="AG38" s="20" t="str">
        <x:v>c576f3783113e3a149406116426c2795bbe0266eb1c5a438adf0c5df20a4cb0f</x:v>
      </x:c>
      <x:c r="AH38" s="582" t="n">
        <x:v>46262.63686342593</x:v>
      </x:c>
      <x:c r="AI38" s="20" t="str">
        <x:v>PVGIS-ERA5 2005-2023</x:v>
      </x:c>
      <x:c r="AJ38" s="20" t="str">
        <x:v>pmtiles://https://cyberjapandata.gsi.go.jp/xyz/optimal_bvmap-v1/optimal_bvmap-v1.pmtiles/14/14220/6523</x:v>
      </x:c>
    </x:row>
    <x:row r="39">
      <x:c r="A39" s="20" t="str">
        <x:v>山口県</x:v>
      </x:c>
      <x:c r="B39" s="20" t="str">
        <x:v>35</x:v>
      </x:c>
      <x:c r="C39" s="20" t="str">
        <x:v>山口県庁（山口市）</x:v>
      </x:c>
      <x:c r="D39" s="192" t="n">
        <x:v>34.18604173</x:v>
      </x:c>
      <x:c r="E39" s="192" t="n">
        <x:v>131.47065282</x:v>
      </x:c>
      <x:c r="F39" s="580" t="n">
        <x:v>49</x:v>
      </x:c>
      <x:c r="G39" s="581" t="n">
        <x:v>110.635789</x:v>
      </x:c>
      <x:c r="H39" s="581" t="n">
        <x:v>119.261053</x:v>
      </x:c>
      <x:c r="I39" s="581" t="n">
        <x:v>159.476316</x:v>
      </x:c>
      <x:c r="J39" s="581" t="n">
        <x:v>164.094211</x:v>
      </x:c>
      <x:c r="K39" s="581" t="n">
        <x:v>165.651053</x:v>
      </x:c>
      <x:c r="L39" s="581" t="n">
        <x:v>135.225263</x:v>
      </x:c>
      <x:c r="M39" s="581" t="n">
        <x:v>142.926316</x:v>
      </x:c>
      <x:c r="N39" s="581" t="n">
        <x:v>159.002632</x:v>
      </x:c>
      <x:c r="O39" s="581" t="n">
        <x:v>139.83</x:v>
      </x:c>
      <x:c r="P39" s="581" t="n">
        <x:v>147.216316</x:v>
      </x:c>
      <x:c r="Q39" s="581" t="n">
        <x:v>119.536842</x:v>
      </x:c>
      <x:c r="R39" s="581" t="n">
        <x:v>102.617895</x:v>
      </x:c>
      <x:c r="S39" s="581" t="n">
        <x:v>5</x:v>
      </x:c>
      <x:c r="T39" s="581" t="n">
        <x:v>5.847368</x:v>
      </x:c>
      <x:c r="U39" s="581" t="n">
        <x:v>8.978947</x:v>
      </x:c>
      <x:c r="V39" s="581" t="n">
        <x:v>13.3</x:v>
      </x:c>
      <x:c r="W39" s="581" t="n">
        <x:v>17.836842</x:v>
      </x:c>
      <x:c r="X39" s="581" t="n">
        <x:v>21.721053</x:v>
      </x:c>
      <x:c r="Y39" s="581" t="n">
        <x:v>25.447368</x:v>
      </x:c>
      <x:c r="Z39" s="581" t="n">
        <x:v>26.521053</x:v>
      </x:c>
      <x:c r="AA39" s="581" t="n">
        <x:v>23.052632</x:v>
      </x:c>
      <x:c r="AB39" s="581" t="n">
        <x:v>17.684211</x:v>
      </x:c>
      <x:c r="AC39" s="581" t="n">
        <x:v>12.226316</x:v>
      </x:c>
      <x:c r="AD39" s="581" t="n">
        <x:v>6.715789</x:v>
      </x:c>
      <x:c r="AE39" s="563" t="n">
        <x:f>SUM(G39:R39)</x:f>
        <x:v>1665.473686</x:v>
      </x:c>
      <x:c r="AF39" s="20" t="str">
        <x:v>https://re.jrc.ec.europa.eu/api/v5_3/MRcalc?lat=34.186042&amp;lon=131.470653&amp;raddatabase=PVGIS-ERA5&amp;startyear=2005&amp;endyear=2023&amp;selectrad=1&amp;angle=30&amp;aspect=0&amp;avtemp=1&amp;usehorizon=0&amp;outputformat=json</x:v>
      </x:c>
      <x:c r="AG39" s="20" t="str">
        <x:v>cb3a097f2bdead676177bb4e8fe7dff2c4b1d44df184bfc833fbe201b07df29e</x:v>
      </x:c>
      <x:c r="AH39" s="582" t="n">
        <x:v>46262.63686342593</x:v>
      </x:c>
      <x:c r="AI39" s="20" t="str">
        <x:v>PVGIS-ERA5 2005-2023</x:v>
      </x:c>
      <x:c r="AJ39" s="20" t="str">
        <x:v>pmtiles://https://cyberjapandata.gsi.go.jp/xyz/optimal_bvmap-v1/optimal_bvmap-v1.pmtiles/14/14175/6534</x:v>
      </x:c>
    </x:row>
    <x:row r="40">
      <x:c r="A40" s="20" t="str">
        <x:v>徳島県</x:v>
      </x:c>
      <x:c r="B40" s="20" t="str">
        <x:v>36</x:v>
      </x:c>
      <x:c r="C40" s="20" t="str">
        <x:v>徳島県庁（徳島市）</x:v>
      </x:c>
      <x:c r="D40" s="192" t="n">
        <x:v>34.06576093</x:v>
      </x:c>
      <x:c r="E40" s="192" t="n">
        <x:v>134.55928087</x:v>
      </x:c>
      <x:c r="F40" s="580" t="n">
        <x:v>10</x:v>
      </x:c>
      <x:c r="G40" s="581" t="n">
        <x:v>130.000526</x:v>
      </x:c>
      <x:c r="H40" s="581" t="n">
        <x:v>129.718421</x:v>
      </x:c>
      <x:c r="I40" s="581" t="n">
        <x:v>165.023158</x:v>
      </x:c>
      <x:c r="J40" s="581" t="n">
        <x:v>166.170526</x:v>
      </x:c>
      <x:c r="K40" s="581" t="n">
        <x:v>165.795263</x:v>
      </x:c>
      <x:c r="L40" s="581" t="n">
        <x:v>134.647368</x:v>
      </x:c>
      <x:c r="M40" s="581" t="n">
        <x:v>147.174211</x:v>
      </x:c>
      <x:c r="N40" s="581" t="n">
        <x:v>163.866842</x:v>
      </x:c>
      <x:c r="O40" s="581" t="n">
        <x:v>140.894737</x:v>
      </x:c>
      <x:c r="P40" s="581" t="n">
        <x:v>141.145789</x:v>
      </x:c>
      <x:c r="Q40" s="581" t="n">
        <x:v>124.402632</x:v>
      </x:c>
      <x:c r="R40" s="581" t="n">
        <x:v>123.693158</x:v>
      </x:c>
      <x:c r="S40" s="581" t="n">
        <x:v>6.984211</x:v>
      </x:c>
      <x:c r="T40" s="581" t="n">
        <x:v>7.668421</x:v>
      </x:c>
      <x:c r="U40" s="581" t="n">
        <x:v>10.542105</x:v>
      </x:c>
      <x:c r="V40" s="581" t="n">
        <x:v>14.5</x:v>
      </x:c>
      <x:c r="W40" s="581" t="n">
        <x:v>18.547368</x:v>
      </x:c>
      <x:c r="X40" s="581" t="n">
        <x:v>22.052632</x:v>
      </x:c>
      <x:c r="Y40" s="581" t="n">
        <x:v>25.757895</x:v>
      </x:c>
      <x:c r="Z40" s="581" t="n">
        <x:v>26.947368</x:v>
      </x:c>
      <x:c r="AA40" s="581" t="n">
        <x:v>24.026316</x:v>
      </x:c>
      <x:c r="AB40" s="581" t="n">
        <x:v>19.131579</x:v>
      </x:c>
      <x:c r="AC40" s="581" t="n">
        <x:v>14.231579</x:v>
      </x:c>
      <x:c r="AD40" s="581" t="n">
        <x:v>8.942105</x:v>
      </x:c>
      <x:c r="AE40" s="563" t="n">
        <x:f>SUM(G40:R40)</x:f>
        <x:v>1732.532631</x:v>
      </x:c>
      <x:c r="AF40" s="20" t="str">
        <x:v>https://re.jrc.ec.europa.eu/api/v5_3/MRcalc?lat=34.065761&amp;lon=134.559281&amp;raddatabase=PVGIS-ERA5&amp;startyear=2005&amp;endyear=2023&amp;selectrad=1&amp;angle=30&amp;aspect=0&amp;avtemp=1&amp;usehorizon=0&amp;outputformat=json</x:v>
      </x:c>
      <x:c r="AG40" s="20" t="str">
        <x:v>3ac986410a68465e03a73cf38696e1ccc38fd9ad25d2ea7e7d92df4de37b5e2f</x:v>
      </x:c>
      <x:c r="AH40" s="582" t="n">
        <x:v>46262.63704861111</x:v>
      </x:c>
      <x:c r="AI40" s="20" t="str">
        <x:v>PVGIS-ERA5 2005-2023</x:v>
      </x:c>
      <x:c r="AJ40" s="20" t="str">
        <x:v>pmtiles://https://cyberjapandata.gsi.go.jp/xyz/optimal_bvmap-v1/optimal_bvmap-v1.pmtiles/14/14315/6541</x:v>
      </x:c>
    </x:row>
    <x:row r="41">
      <x:c r="A41" s="20" t="str">
        <x:v>香川県</x:v>
      </x:c>
      <x:c r="B41" s="20" t="str">
        <x:v>37</x:v>
      </x:c>
      <x:c r="C41" s="20" t="str">
        <x:v>香川県庁（高松市）</x:v>
      </x:c>
      <x:c r="D41" s="192" t="n">
        <x:v>34.34011407</x:v>
      </x:c>
      <x:c r="E41" s="192" t="n">
        <x:v>134.04328823</x:v>
      </x:c>
      <x:c r="F41" s="580" t="n">
        <x:v>15</x:v>
      </x:c>
      <x:c r="G41" s="581" t="n">
        <x:v>130.954737</x:v>
      </x:c>
      <x:c r="H41" s="581" t="n">
        <x:v>130.196842</x:v>
      </x:c>
      <x:c r="I41" s="581" t="n">
        <x:v>164.302632</x:v>
      </x:c>
      <x:c r="J41" s="581" t="n">
        <x:v>167.063684</x:v>
      </x:c>
      <x:c r="K41" s="581" t="n">
        <x:v>167.988421</x:v>
      </x:c>
      <x:c r="L41" s="581" t="n">
        <x:v>136.862632</x:v>
      </x:c>
      <x:c r="M41" s="581" t="n">
        <x:v>146.713684</x:v>
      </x:c>
      <x:c r="N41" s="581" t="n">
        <x:v>161.870526</x:v>
      </x:c>
      <x:c r="O41" s="581" t="n">
        <x:v>138.746842</x:v>
      </x:c>
      <x:c r="P41" s="581" t="n">
        <x:v>140.398421</x:v>
      </x:c>
      <x:c r="Q41" s="581" t="n">
        <x:v>123.546316</x:v>
      </x:c>
      <x:c r="R41" s="581" t="n">
        <x:v>125.353684</x:v>
      </x:c>
      <x:c r="S41" s="581" t="n">
        <x:v>5.073684</x:v>
      </x:c>
      <x:c r="T41" s="581" t="n">
        <x:v>5.810526</x:v>
      </x:c>
      <x:c r="U41" s="581" t="n">
        <x:v>8.868421</x:v>
      </x:c>
      <x:c r="V41" s="581" t="n">
        <x:v>13.152632</x:v>
      </x:c>
      <x:c r="W41" s="581" t="n">
        <x:v>17.531579</x:v>
      </x:c>
      <x:c r="X41" s="581" t="n">
        <x:v>21.342105</x:v>
      </x:c>
      <x:c r="Y41" s="581" t="n">
        <x:v>25.178947</x:v>
      </x:c>
      <x:c r="Z41" s="581" t="n">
        <x:v>26.352632</x:v>
      </x:c>
      <x:c r="AA41" s="581" t="n">
        <x:v>23.1</x:v>
      </x:c>
      <x:c r="AB41" s="581" t="n">
        <x:v>17.805263</x:v>
      </x:c>
      <x:c r="AC41" s="581" t="n">
        <x:v>12.426316</x:v>
      </x:c>
      <x:c r="AD41" s="581" t="n">
        <x:v>6.994737</x:v>
      </x:c>
      <x:c r="AE41" s="563" t="n">
        <x:f>SUM(G41:R41)</x:f>
        <x:v>1733.9984209999998</x:v>
      </x:c>
      <x:c r="AF41" s="20" t="str">
        <x:v>https://re.jrc.ec.europa.eu/api/v5_3/MRcalc?lat=34.340114&amp;lon=134.043288&amp;raddatabase=PVGIS-ERA5&amp;startyear=2005&amp;endyear=2023&amp;selectrad=1&amp;angle=30&amp;aspect=0&amp;avtemp=1&amp;usehorizon=0&amp;outputformat=json</x:v>
      </x:c>
      <x:c r="AG41" s="20" t="str">
        <x:v>3dbf28c74cd47be41149d24c77ce9c6f28838e5a3a3e740cb53ec10991bbf79b</x:v>
      </x:c>
      <x:c r="AH41" s="582" t="n">
        <x:v>46262.63704861111</x:v>
      </x:c>
      <x:c r="AI41" s="20" t="str">
        <x:v>PVGIS-ERA5 2005-2023</x:v>
      </x:c>
      <x:c r="AJ41" s="20" t="str">
        <x:v>pmtiles://https://cyberjapandata.gsi.go.jp/xyz/optimal_bvmap-v1/optimal_bvmap-v1.pmtiles/14/14292/6526</x:v>
      </x:c>
    </x:row>
    <x:row r="42">
      <x:c r="A42" s="20" t="str">
        <x:v>愛媛県</x:v>
      </x:c>
      <x:c r="B42" s="20" t="str">
        <x:v>38</x:v>
      </x:c>
      <x:c r="C42" s="20" t="str">
        <x:v>愛媛県庁（松山市）</x:v>
      </x:c>
      <x:c r="D42" s="192" t="n">
        <x:v>33.84164627</x:v>
      </x:c>
      <x:c r="E42" s="192" t="n">
        <x:v>132.7656877</x:v>
      </x:c>
      <x:c r="F42" s="580" t="n">
        <x:v>34</x:v>
      </x:c>
      <x:c r="G42" s="581" t="n">
        <x:v>126.102632</x:v>
      </x:c>
      <x:c r="H42" s="581" t="n">
        <x:v>129.770526</x:v>
      </x:c>
      <x:c r="I42" s="581" t="n">
        <x:v>165.028421</x:v>
      </x:c>
      <x:c r="J42" s="581" t="n">
        <x:v>167.018947</x:v>
      </x:c>
      <x:c r="K42" s="581" t="n">
        <x:v>166.942632</x:v>
      </x:c>
      <x:c r="L42" s="581" t="n">
        <x:v>134.551053</x:v>
      </x:c>
      <x:c r="M42" s="581" t="n">
        <x:v>149.278947</x:v>
      </x:c>
      <x:c r="N42" s="581" t="n">
        <x:v>160.967368</x:v>
      </x:c>
      <x:c r="O42" s="581" t="n">
        <x:v>141.024211</x:v>
      </x:c>
      <x:c r="P42" s="581" t="n">
        <x:v>148.690526</x:v>
      </x:c>
      <x:c r="Q42" s="581" t="n">
        <x:v>125.605789</x:v>
      </x:c>
      <x:c r="R42" s="581" t="n">
        <x:v>117.718421</x:v>
      </x:c>
      <x:c r="S42" s="581" t="n">
        <x:v>4.452632</x:v>
      </x:c>
      <x:c r="T42" s="581" t="n">
        <x:v>5.426316</x:v>
      </x:c>
      <x:c r="U42" s="581" t="n">
        <x:v>8.721053</x:v>
      </x:c>
      <x:c r="V42" s="581" t="n">
        <x:v>13.252632</x:v>
      </x:c>
      <x:c r="W42" s="581" t="n">
        <x:v>17.931579</x:v>
      </x:c>
      <x:c r="X42" s="581" t="n">
        <x:v>21.684211</x:v>
      </x:c>
      <x:c r="Y42" s="581" t="n">
        <x:v>25.5</x:v>
      </x:c>
      <x:c r="Z42" s="581" t="n">
        <x:v>26.263158</x:v>
      </x:c>
      <x:c r="AA42" s="581" t="n">
        <x:v>22.9</x:v>
      </x:c>
      <x:c r="AB42" s="581" t="n">
        <x:v>17.447368</x:v>
      </x:c>
      <x:c r="AC42" s="581" t="n">
        <x:v>11.973684</x:v>
      </x:c>
      <x:c r="AD42" s="581" t="n">
        <x:v>6.336842</x:v>
      </x:c>
      <x:c r="AE42" s="563" t="n">
        <x:f>SUM(G42:R42)</x:f>
        <x:v>1732.6994730000001</x:v>
      </x:c>
      <x:c r="AF42" s="20" t="str">
        <x:v>https://re.jrc.ec.europa.eu/api/v5_3/MRcalc?lat=33.841646&amp;lon=132.765688&amp;raddatabase=PVGIS-ERA5&amp;startyear=2005&amp;endyear=2023&amp;selectrad=1&amp;angle=30&amp;aspect=0&amp;avtemp=1&amp;usehorizon=0&amp;outputformat=json</x:v>
      </x:c>
      <x:c r="AG42" s="20" t="str">
        <x:v>e2d7aa76ab2616a77776a98e49d704d9765c3dca3fd54ce1a5408f2f1ca5e48b</x:v>
      </x:c>
      <x:c r="AH42" s="582" t="n">
        <x:v>46262.63704861111</x:v>
      </x:c>
      <x:c r="AI42" s="20" t="str">
        <x:v>PVGIS-ERA5 2005-2023</x:v>
      </x:c>
      <x:c r="AJ42" s="20" t="str">
        <x:v>pmtiles://https://cyberjapandata.gsi.go.jp/xyz/optimal_bvmap-v1/optimal_bvmap-v1.pmtiles/14/14234/6553</x:v>
      </x:c>
    </x:row>
    <x:row r="43">
      <x:c r="A43" s="20" t="str">
        <x:v>高知県</x:v>
      </x:c>
      <x:c r="B43" s="20" t="str">
        <x:v>39</x:v>
      </x:c>
      <x:c r="C43" s="20" t="str">
        <x:v>高知県庁（高知市）</x:v>
      </x:c>
      <x:c r="D43" s="192" t="n">
        <x:v>33.55972453</x:v>
      </x:c>
      <x:c r="E43" s="192" t="n">
        <x:v>133.53110969</x:v>
      </x:c>
      <x:c r="F43" s="580" t="n">
        <x:v>10</x:v>
      </x:c>
      <x:c r="G43" s="581" t="n">
        <x:v>137.027895</x:v>
      </x:c>
      <x:c r="H43" s="581" t="n">
        <x:v>135.483158</x:v>
      </x:c>
      <x:c r="I43" s="581" t="n">
        <x:v>167.913158</x:v>
      </x:c>
      <x:c r="J43" s="581" t="n">
        <x:v>168.791053</x:v>
      </x:c>
      <x:c r="K43" s="581" t="n">
        <x:v>167.482105</x:v>
      </x:c>
      <x:c r="L43" s="581" t="n">
        <x:v>134.96</x:v>
      </x:c>
      <x:c r="M43" s="581" t="n">
        <x:v>152.37</x:v>
      </x:c>
      <x:c r="N43" s="581" t="n">
        <x:v>166.788947</x:v>
      </x:c>
      <x:c r="O43" s="581" t="n">
        <x:v>145.592632</x:v>
      </x:c>
      <x:c r="P43" s="581" t="n">
        <x:v>148.494211</x:v>
      </x:c>
      <x:c r="Q43" s="581" t="n">
        <x:v>129.505263</x:v>
      </x:c>
      <x:c r="R43" s="581" t="n">
        <x:v>130.836316</x:v>
      </x:c>
      <x:c r="S43" s="581" t="n">
        <x:v>6.894737</x:v>
      </x:c>
      <x:c r="T43" s="581" t="n">
        <x:v>7.973684</x:v>
      </x:c>
      <x:c r="U43" s="581" t="n">
        <x:v>11.063158</x:v>
      </x:c>
      <x:c r="V43" s="581" t="n">
        <x:v>15.163158</x:v>
      </x:c>
      <x:c r="W43" s="581" t="n">
        <x:v>19.189474</x:v>
      </x:c>
      <x:c r="X43" s="581" t="n">
        <x:v>22.473684</x:v>
      </x:c>
      <x:c r="Y43" s="581" t="n">
        <x:v>26.142105</x:v>
      </x:c>
      <x:c r="Z43" s="581" t="n">
        <x:v>26.931579</x:v>
      </x:c>
      <x:c r="AA43" s="581" t="n">
        <x:v>24.294737</x:v>
      </x:c>
      <x:c r="AB43" s="581" t="n">
        <x:v>19.357895</x:v>
      </x:c>
      <x:c r="AC43" s="581" t="n">
        <x:v>13.978947</x:v>
      </x:c>
      <x:c r="AD43" s="581" t="n">
        <x:v>8.6</x:v>
      </x:c>
      <x:c r="AE43" s="563" t="n">
        <x:f>SUM(G43:R43)</x:f>
        <x:v>1785.2447379999999</x:v>
      </x:c>
      <x:c r="AF43" s="20" t="str">
        <x:v>https://re.jrc.ec.europa.eu/api/v5_3/MRcalc?lat=33.559725&amp;lon=133.531110&amp;raddatabase=PVGIS-ERA5&amp;startyear=2005&amp;endyear=2023&amp;selectrad=1&amp;angle=30&amp;aspect=0&amp;avtemp=1&amp;usehorizon=0&amp;outputformat=json</x:v>
      </x:c>
      <x:c r="AG43" s="20" t="str">
        <x:v>8a4a763fd30d51b90dbadff2694b7f93be59004387910d61675a56e07af96874</x:v>
      </x:c>
      <x:c r="AH43" s="582" t="n">
        <x:v>46262.63704861111</x:v>
      </x:c>
      <x:c r="AI43" s="20" t="str">
        <x:v>PVGIS-ERA5 2005-2023</x:v>
      </x:c>
      <x:c r="AJ43" s="20" t="str">
        <x:v>pmtiles://https://cyberjapandata.gsi.go.jp/xyz/optimal_bvmap-v1/optimal_bvmap-v1.pmtiles/14/14269/6568</x:v>
      </x:c>
    </x:row>
    <x:row r="44">
      <x:c r="A44" s="20" t="str">
        <x:v>福岡県</x:v>
      </x:c>
      <x:c r="B44" s="20" t="str">
        <x:v>40</x:v>
      </x:c>
      <x:c r="C44" s="20" t="str">
        <x:v>福岡県庁（福岡市）</x:v>
      </x:c>
      <x:c r="D44" s="192" t="n">
        <x:v>33.60638999</x:v>
      </x:c>
      <x:c r="E44" s="192" t="n">
        <x:v>130.41796625</x:v>
      </x:c>
      <x:c r="F44" s="580" t="n">
        <x:v>13</x:v>
      </x:c>
      <x:c r="G44" s="581" t="n">
        <x:v>103.131579</x:v>
      </x:c>
      <x:c r="H44" s="581" t="n">
        <x:v>113.448947</x:v>
      </x:c>
      <x:c r="I44" s="581" t="n">
        <x:v>153.635789</x:v>
      </x:c>
      <x:c r="J44" s="581" t="n">
        <x:v>160.043158</x:v>
      </x:c>
      <x:c r="K44" s="581" t="n">
        <x:v>161.606842</x:v>
      </x:c>
      <x:c r="L44" s="581" t="n">
        <x:v>126.841579</x:v>
      </x:c>
      <x:c r="M44" s="581" t="n">
        <x:v>134.859474</x:v>
      </x:c>
      <x:c r="N44" s="581" t="n">
        <x:v>152.876316</x:v>
      </x:c>
      <x:c r="O44" s="581" t="n">
        <x:v>135.821579</x:v>
      </x:c>
      <x:c r="P44" s="581" t="n">
        <x:v>146.024737</x:v>
      </x:c>
      <x:c r="Q44" s="581" t="n">
        <x:v>116.298421</x:v>
      </x:c>
      <x:c r="R44" s="581" t="n">
        <x:v>97.602632</x:v>
      </x:c>
      <x:c r="S44" s="581" t="n">
        <x:v>4.663158</x:v>
      </x:c>
      <x:c r="T44" s="581" t="n">
        <x:v>5.689474</x:v>
      </x:c>
      <x:c r="U44" s="581" t="n">
        <x:v>9.010526</x:v>
      </x:c>
      <x:c r="V44" s="581" t="n">
        <x:v>13.526316</x:v>
      </x:c>
      <x:c r="W44" s="581" t="n">
        <x:v>18.373684</x:v>
      </x:c>
      <x:c r="X44" s="581" t="n">
        <x:v>22.131579</x:v>
      </x:c>
      <x:c r="Y44" s="581" t="n">
        <x:v>25.763158</x:v>
      </x:c>
      <x:c r="Z44" s="581" t="n">
        <x:v>26.684211</x:v>
      </x:c>
      <x:c r="AA44" s="581" t="n">
        <x:v>22.926316</x:v>
      </x:c>
      <x:c r="AB44" s="581" t="n">
        <x:v>17.536842</x:v>
      </x:c>
      <x:c r="AC44" s="581" t="n">
        <x:v>11.889474</x:v>
      </x:c>
      <x:c r="AD44" s="581" t="n">
        <x:v>6.268421</x:v>
      </x:c>
      <x:c r="AE44" s="563" t="n">
        <x:f>SUM(G44:R44)</x:f>
        <x:v>1602.191053</x:v>
      </x:c>
      <x:c r="AF44" s="20" t="str">
        <x:v>https://re.jrc.ec.europa.eu/api/v5_3/MRcalc?lat=33.606390&amp;lon=130.417966&amp;raddatabase=PVGIS-ERA5&amp;startyear=2005&amp;endyear=2023&amp;selectrad=1&amp;angle=30&amp;aspect=0&amp;avtemp=1&amp;usehorizon=0&amp;outputformat=json</x:v>
      </x:c>
      <x:c r="AG44" s="20" t="str">
        <x:v>56d4b5e91a913a1b1f38dabfcb821e80602e7187fcef46726262fa7a0e6f3146</x:v>
      </x:c>
      <x:c r="AH44" s="582" t="n">
        <x:v>46262.63704861111</x:v>
      </x:c>
      <x:c r="AI44" s="20" t="str">
        <x:v>PVGIS-ERA5 2005-2023</x:v>
      </x:c>
      <x:c r="AJ44" s="20" t="str">
        <x:v>pmtiles://https://cyberjapandata.gsi.go.jp/xyz/optimal_bvmap-v1/optimal_bvmap-v1.pmtiles/14/14127/6566</x:v>
      </x:c>
    </x:row>
    <x:row r="45">
      <x:c r="A45" s="20" t="str">
        <x:v>佐賀県</x:v>
      </x:c>
      <x:c r="B45" s="20" t="str">
        <x:v>41</x:v>
      </x:c>
      <x:c r="C45" s="20" t="str">
        <x:v>佐賀県庁（佐賀市）</x:v>
      </x:c>
      <x:c r="D45" s="192" t="n">
        <x:v>33.24935193</x:v>
      </x:c>
      <x:c r="E45" s="192" t="n">
        <x:v>130.29879034</x:v>
      </x:c>
      <x:c r="F45" s="580" t="n">
        <x:v>2</x:v>
      </x:c>
      <x:c r="G45" s="581" t="n">
        <x:v>105.491579</x:v>
      </x:c>
      <x:c r="H45" s="581" t="n">
        <x:v>113.289474</x:v>
      </x:c>
      <x:c r="I45" s="581" t="n">
        <x:v>150.283158</x:v>
      </x:c>
      <x:c r="J45" s="581" t="n">
        <x:v>156.527368</x:v>
      </x:c>
      <x:c r="K45" s="581" t="n">
        <x:v>155.902632</x:v>
      </x:c>
      <x:c r="L45" s="581" t="n">
        <x:v>117.376842</x:v>
      </x:c>
      <x:c r="M45" s="581" t="n">
        <x:v>130.111579</x:v>
      </x:c>
      <x:c r="N45" s="581" t="n">
        <x:v>149.766316</x:v>
      </x:c>
      <x:c r="O45" s="581" t="n">
        <x:v>135.026842</x:v>
      </x:c>
      <x:c r="P45" s="581" t="n">
        <x:v>146.408421</x:v>
      </x:c>
      <x:c r="Q45" s="581" t="n">
        <x:v>115.748421</x:v>
      </x:c>
      <x:c r="R45" s="581" t="n">
        <x:v>99.399474</x:v>
      </x:c>
      <x:c r="S45" s="581" t="n">
        <x:v>6.526316</x:v>
      </x:c>
      <x:c r="T45" s="581" t="n">
        <x:v>7.336842</x:v>
      </x:c>
      <x:c r="U45" s="581" t="n">
        <x:v>10.573684</x:v>
      </x:c>
      <x:c r="V45" s="581" t="n">
        <x:v>14.873684</x:v>
      </x:c>
      <x:c r="W45" s="581" t="n">
        <x:v>19.457895</x:v>
      </x:c>
      <x:c r="X45" s="581" t="n">
        <x:v>23.021053</x:v>
      </x:c>
      <x:c r="Y45" s="581" t="n">
        <x:v>26.589474</x:v>
      </x:c>
      <x:c r="Z45" s="581" t="n">
        <x:v>27.515789</x:v>
      </x:c>
      <x:c r="AA45" s="581" t="n">
        <x:v>24.078947</x:v>
      </x:c>
      <x:c r="AB45" s="581" t="n">
        <x:v>18.773684</x:v>
      </x:c>
      <x:c r="AC45" s="581" t="n">
        <x:v>13.5</x:v>
      </x:c>
      <x:c r="AD45" s="581" t="n">
        <x:v>8.121053</x:v>
      </x:c>
      <x:c r="AE45" s="563" t="n">
        <x:f>SUM(G45:R45)</x:f>
        <x:v>1575.3321060000003</x:v>
      </x:c>
      <x:c r="AF45" s="20" t="str">
        <x:v>https://re.jrc.ec.europa.eu/api/v5_3/MRcalc?lat=33.249352&amp;lon=130.298790&amp;raddatabase=PVGIS-ERA5&amp;startyear=2005&amp;endyear=2023&amp;selectrad=1&amp;angle=30&amp;aspect=0&amp;avtemp=1&amp;usehorizon=0&amp;outputformat=json</x:v>
      </x:c>
      <x:c r="AG45" s="20" t="str">
        <x:v>2a2a12cec4081ee7ba9181ac2ad3e8cacb96635e84fd61518dc1a18e24b2660f</x:v>
      </x:c>
      <x:c r="AH45" s="582" t="n">
        <x:v>46262.6372337963</x:v>
      </x:c>
      <x:c r="AI45" s="20" t="str">
        <x:v>PVGIS-ERA5 2005-2023</x:v>
      </x:c>
      <x:c r="AJ45" s="20" t="str">
        <x:v>pmtiles://https://cyberjapandata.gsi.go.jp/xyz/optimal_bvmap-v1/optimal_bvmap-v1.pmtiles/14/14122/6585</x:v>
      </x:c>
    </x:row>
    <x:row r="46">
      <x:c r="A46" s="20" t="str">
        <x:v>長崎県</x:v>
      </x:c>
      <x:c r="B46" s="20" t="str">
        <x:v>42</x:v>
      </x:c>
      <x:c r="C46" s="20" t="str">
        <x:v>長崎県庁（長崎市）</x:v>
      </x:c>
      <x:c r="D46" s="192" t="n">
        <x:v>32.75004288</x:v>
      </x:c>
      <x:c r="E46" s="192" t="n">
        <x:v>129.86724973</x:v>
      </x:c>
      <x:c r="F46" s="580" t="n">
        <x:v>0</x:v>
      </x:c>
      <x:c r="G46" s="581" t="n">
        <x:v>101.910526</x:v>
      </x:c>
      <x:c r="H46" s="581" t="n">
        <x:v>113.073684</x:v>
      </x:c>
      <x:c r="I46" s="581" t="n">
        <x:v>153.433684</x:v>
      </x:c>
      <x:c r="J46" s="581" t="n">
        <x:v>161.081053</x:v>
      </x:c>
      <x:c r="K46" s="581" t="n">
        <x:v>159.898947</x:v>
      </x:c>
      <x:c r="L46" s="581" t="n">
        <x:v>124.252632</x:v>
      </x:c>
      <x:c r="M46" s="581" t="n">
        <x:v>141.527368</x:v>
      </x:c>
      <x:c r="N46" s="581" t="n">
        <x:v>159.393158</x:v>
      </x:c>
      <x:c r="O46" s="581" t="n">
        <x:v>143.557368</x:v>
      </x:c>
      <x:c r="P46" s="581" t="n">
        <x:v>152.059474</x:v>
      </x:c>
      <x:c r="Q46" s="581" t="n">
        <x:v>115.327895</x:v>
      </x:c>
      <x:c r="R46" s="581" t="n">
        <x:v>95.040526</x:v>
      </x:c>
      <x:c r="S46" s="581" t="n">
        <x:v>8.136842</x:v>
      </x:c>
      <x:c r="T46" s="581" t="n">
        <x:v>8.821053</x:v>
      </x:c>
      <x:c r="U46" s="581" t="n">
        <x:v>11.605263</x:v>
      </x:c>
      <x:c r="V46" s="581" t="n">
        <x:v>15.1</x:v>
      </x:c>
      <x:c r="W46" s="581" t="n">
        <x:v>18.847368</x:v>
      </x:c>
      <x:c r="X46" s="581" t="n">
        <x:v>22.163158</x:v>
      </x:c>
      <x:c r="Y46" s="581" t="n">
        <x:v>25.794737</x:v>
      </x:c>
      <x:c r="Z46" s="581" t="n">
        <x:v>27.126316</x:v>
      </x:c>
      <x:c r="AA46" s="581" t="n">
        <x:v>24.557895</x:v>
      </x:c>
      <x:c r="AB46" s="581" t="n">
        <x:v>20.126316</x:v>
      </x:c>
      <x:c r="AC46" s="581" t="n">
        <x:v>15.205263</x:v>
      </x:c>
      <x:c r="AD46" s="581" t="n">
        <x:v>9.836842</x:v>
      </x:c>
      <x:c r="AE46" s="563" t="n">
        <x:f>SUM(G46:R46)</x:f>
        <x:v>1620.556315</x:v>
      </x:c>
      <x:c r="AF46" s="20" t="str">
        <x:v>https://re.jrc.ec.europa.eu/api/v5_3/MRcalc?lat=32.750043&amp;lon=129.867250&amp;raddatabase=PVGIS-ERA5&amp;startyear=2005&amp;endyear=2023&amp;selectrad=1&amp;angle=30&amp;aspect=0&amp;avtemp=1&amp;usehorizon=0&amp;outputformat=json</x:v>
      </x:c>
      <x:c r="AG46" s="20" t="str">
        <x:v>dbe7b6494f9d479e1c28ce931e336bc12646aff79871b2556bea25906ff3e7b5</x:v>
      </x:c>
      <x:c r="AH46" s="582" t="n">
        <x:v>46262.6372337963</x:v>
      </x:c>
      <x:c r="AI46" s="20" t="str">
        <x:v>PVGIS-ERA5 2005-2023</x:v>
      </x:c>
      <x:c r="AJ46" s="20" t="str">
        <x:v>pmtiles://https://cyberjapandata.gsi.go.jp/xyz/optimal_bvmap-v1/optimal_bvmap-v1.pmtiles/14/14102/6613</x:v>
      </x:c>
    </x:row>
    <x:row r="47">
      <x:c r="A47" s="20" t="str">
        <x:v>熊本県</x:v>
      </x:c>
      <x:c r="B47" s="20" t="str">
        <x:v>43</x:v>
      </x:c>
      <x:c r="C47" s="20" t="str">
        <x:v>熊本県庁（熊本市）</x:v>
      </x:c>
      <x:c r="D47" s="192" t="n">
        <x:v>32.78980449</x:v>
      </x:c>
      <x:c r="E47" s="192" t="n">
        <x:v>130.74158013</x:v>
      </x:c>
      <x:c r="F47" s="580" t="n">
        <x:v>28</x:v>
      </x:c>
      <x:c r="G47" s="581" t="n">
        <x:v>110.753684</x:v>
      </x:c>
      <x:c r="H47" s="581" t="n">
        <x:v>116.420526</x:v>
      </x:c>
      <x:c r="I47" s="581" t="n">
        <x:v>150.75</x:v>
      </x:c>
      <x:c r="J47" s="581" t="n">
        <x:v>155.803684</x:v>
      </x:c>
      <x:c r="K47" s="581" t="n">
        <x:v>153.295263</x:v>
      </x:c>
      <x:c r="L47" s="581" t="n">
        <x:v>113.407368</x:v>
      </x:c>
      <x:c r="M47" s="581" t="n">
        <x:v>130.201053</x:v>
      </x:c>
      <x:c r="N47" s="581" t="n">
        <x:v>147.438421</x:v>
      </x:c>
      <x:c r="O47" s="581" t="n">
        <x:v>132.025263</x:v>
      </x:c>
      <x:c r="P47" s="581" t="n">
        <x:v>144.976316</x:v>
      </x:c>
      <x:c r="Q47" s="581" t="n">
        <x:v>116.654211</x:v>
      </x:c>
      <x:c r="R47" s="581" t="n">
        <x:v>103.945263</x:v>
      </x:c>
      <x:c r="S47" s="581" t="n">
        <x:v>5.447368</x:v>
      </x:c>
      <x:c r="T47" s="581" t="n">
        <x:v>6.710526</x:v>
      </x:c>
      <x:c r="U47" s="581" t="n">
        <x:v>10.094737</x:v>
      </x:c>
      <x:c r="V47" s="581" t="n">
        <x:v>14.436842</x:v>
      </x:c>
      <x:c r="W47" s="581" t="n">
        <x:v>18.926316</x:v>
      </x:c>
      <x:c r="X47" s="581" t="n">
        <x:v>22.136842</x:v>
      </x:c>
      <x:c r="Y47" s="581" t="n">
        <x:v>25.642105</x:v>
      </x:c>
      <x:c r="Z47" s="581" t="n">
        <x:v>26.484211</x:v>
      </x:c>
      <x:c r="AA47" s="581" t="n">
        <x:v>23.552632</x:v>
      </x:c>
      <x:c r="AB47" s="581" t="n">
        <x:v>18.131579</x:v>
      </x:c>
      <x:c r="AC47" s="581" t="n">
        <x:v>12.563158</x:v>
      </x:c>
      <x:c r="AD47" s="581" t="n">
        <x:v>6.852632</x:v>
      </x:c>
      <x:c r="AE47" s="563" t="n">
        <x:f>SUM(G47:R47)</x:f>
        <x:v>1575.6710520000001</x:v>
      </x:c>
      <x:c r="AF47" s="20" t="str">
        <x:v>https://re.jrc.ec.europa.eu/api/v5_3/MRcalc?lat=32.789804&amp;lon=130.741580&amp;raddatabase=PVGIS-ERA5&amp;startyear=2005&amp;endyear=2023&amp;selectrad=1&amp;angle=30&amp;aspect=0&amp;avtemp=1&amp;usehorizon=0&amp;outputformat=json</x:v>
      </x:c>
      <x:c r="AG47" s="20" t="str">
        <x:v>76f6d291445e8e264e4c00c657bd1e665b15b9e2594715349c9e5af986261d1b</x:v>
      </x:c>
      <x:c r="AH47" s="582" t="n">
        <x:v>46262.6372337963</x:v>
      </x:c>
      <x:c r="AI47" s="20" t="str">
        <x:v>PVGIS-ERA5 2005-2023</x:v>
      </x:c>
      <x:c r="AJ47" s="20" t="str">
        <x:v>pmtiles://https://cyberjapandata.gsi.go.jp/xyz/optimal_bvmap-v1/optimal_bvmap-v1.pmtiles/14/14142/6610</x:v>
      </x:c>
    </x:row>
    <x:row r="48">
      <x:c r="A48" s="20" t="str">
        <x:v>大分県</x:v>
      </x:c>
      <x:c r="B48" s="20" t="str">
        <x:v>44</x:v>
      </x:c>
      <x:c r="C48" s="20" t="str">
        <x:v>大分県庁（大分市）</x:v>
      </x:c>
      <x:c r="D48" s="192" t="n">
        <x:v>33.23813117</x:v>
      </x:c>
      <x:c r="E48" s="192" t="n">
        <x:v>131.6126436</x:v>
      </x:c>
      <x:c r="F48" s="580" t="n">
        <x:v>10</x:v>
      </x:c>
      <x:c r="G48" s="581" t="n">
        <x:v>124.649474</x:v>
      </x:c>
      <x:c r="H48" s="581" t="n">
        <x:v>127.740526</x:v>
      </x:c>
      <x:c r="I48" s="581" t="n">
        <x:v>163.470526</x:v>
      </x:c>
      <x:c r="J48" s="581" t="n">
        <x:v>167.13</x:v>
      </x:c>
      <x:c r="K48" s="581" t="n">
        <x:v>163.506842</x:v>
      </x:c>
      <x:c r="L48" s="581" t="n">
        <x:v>127.645789</x:v>
      </x:c>
      <x:c r="M48" s="581" t="n">
        <x:v>148.581053</x:v>
      </x:c>
      <x:c r="N48" s="581" t="n">
        <x:v>161.655263</x:v>
      </x:c>
      <x:c r="O48" s="581" t="n">
        <x:v>141.822105</x:v>
      </x:c>
      <x:c r="P48" s="581" t="n">
        <x:v>147.733158</x:v>
      </x:c>
      <x:c r="Q48" s="581" t="n">
        <x:v>124.185789</x:v>
      </x:c>
      <x:c r="R48" s="581" t="n">
        <x:v>117.113684</x:v>
      </x:c>
      <x:c r="S48" s="581" t="n">
        <x:v>5.994737</x:v>
      </x:c>
      <x:c r="T48" s="581" t="n">
        <x:v>6.852632</x:v>
      </x:c>
      <x:c r="U48" s="581" t="n">
        <x:v>9.794737</x:v>
      </x:c>
      <x:c r="V48" s="581" t="n">
        <x:v>13.942105</x:v>
      </x:c>
      <x:c r="W48" s="581" t="n">
        <x:v>18.336842</x:v>
      </x:c>
      <x:c r="X48" s="581" t="n">
        <x:v>21.878947</x:v>
      </x:c>
      <x:c r="Y48" s="581" t="n">
        <x:v>25.742105</x:v>
      </x:c>
      <x:c r="Z48" s="581" t="n">
        <x:v>26.442105</x:v>
      </x:c>
      <x:c r="AA48" s="581" t="n">
        <x:v>23.3</x:v>
      </x:c>
      <x:c r="AB48" s="581" t="n">
        <x:v>18.352632</x:v>
      </x:c>
      <x:c r="AC48" s="581" t="n">
        <x:v>13.189474</x:v>
      </x:c>
      <x:c r="AD48" s="581" t="n">
        <x:v>7.694737</x:v>
      </x:c>
      <x:c r="AE48" s="563" t="n">
        <x:f>SUM(G48:R48)</x:f>
        <x:v>1715.2342089999997</x:v>
      </x:c>
      <x:c r="AF48" s="20" t="str">
        <x:v>https://re.jrc.ec.europa.eu/api/v5_3/MRcalc?lat=33.238131&amp;lon=131.612644&amp;raddatabase=PVGIS-ERA5&amp;startyear=2005&amp;endyear=2023&amp;selectrad=1&amp;angle=30&amp;aspect=0&amp;avtemp=1&amp;usehorizon=0&amp;outputformat=json</x:v>
      </x:c>
      <x:c r="AG48" s="20" t="str">
        <x:v>7ab3f47c5bf38828a1e1d2ab7311629fead48f933ac99a9fcb745d655fc0ef9a</x:v>
      </x:c>
      <x:c r="AH48" s="582" t="n">
        <x:v>46262.6372337963</x:v>
      </x:c>
      <x:c r="AI48" s="20" t="str">
        <x:v>PVGIS-ERA5 2005-2023</x:v>
      </x:c>
      <x:c r="AJ48" s="20" t="str">
        <x:v>pmtiles://https://cyberjapandata.gsi.go.jp/xyz/optimal_bvmap-v1/optimal_bvmap-v1.pmtiles/14/14181/6586</x:v>
      </x:c>
    </x:row>
    <x:row r="49">
      <x:c r="A49" s="20" t="str">
        <x:v>宮崎県</x:v>
      </x:c>
      <x:c r="B49" s="20" t="str">
        <x:v>45</x:v>
      </x:c>
      <x:c r="C49" s="20" t="str">
        <x:v>宮崎県庁（宮崎市）</x:v>
      </x:c>
      <x:c r="D49" s="192" t="n">
        <x:v>31.91103793</x:v>
      </x:c>
      <x:c r="E49" s="192" t="n">
        <x:v>131.42388582</x:v>
      </x:c>
      <x:c r="F49" s="580" t="n">
        <x:v>13</x:v>
      </x:c>
      <x:c r="G49" s="581" t="n">
        <x:v>137.019474</x:v>
      </x:c>
      <x:c r="H49" s="581" t="n">
        <x:v>130.162105</x:v>
      </x:c>
      <x:c r="I49" s="581" t="n">
        <x:v>159.108421</x:v>
      </x:c>
      <x:c r="J49" s="581" t="n">
        <x:v>158.227895</x:v>
      </x:c>
      <x:c r="K49" s="581" t="n">
        <x:v>151.04</x:v>
      </x:c>
      <x:c r="L49" s="581" t="n">
        <x:v>114.365263</x:v>
      </x:c>
      <x:c r="M49" s="581" t="n">
        <x:v>150.378421</x:v>
      </x:c>
      <x:c r="N49" s="581" t="n">
        <x:v>158.63</x:v>
      </x:c>
      <x:c r="O49" s="581" t="n">
        <x:v>138.408947</x:v>
      </x:c>
      <x:c r="P49" s="581" t="n">
        <x:v>140.644211</x:v>
      </x:c>
      <x:c r="Q49" s="581" t="n">
        <x:v>124.767368</x:v>
      </x:c>
      <x:c r="R49" s="581" t="n">
        <x:v>132.542632</x:v>
      </x:c>
      <x:c r="S49" s="581" t="n">
        <x:v>9.731579</x:v>
      </x:c>
      <x:c r="T49" s="581" t="n">
        <x:v>10.715789</x:v>
      </x:c>
      <x:c r="U49" s="581" t="n">
        <x:v>13.263158</x:v>
      </x:c>
      <x:c r="V49" s="581" t="n">
        <x:v>16.789474</x:v>
      </x:c>
      <x:c r="W49" s="581" t="n">
        <x:v>20.415789</x:v>
      </x:c>
      <x:c r="X49" s="581" t="n">
        <x:v>23.294737</x:v>
      </x:c>
      <x:c r="Y49" s="581" t="n">
        <x:v>26.721053</x:v>
      </x:c>
      <x:c r="Z49" s="581" t="n">
        <x:v>27.568421</x:v>
      </x:c>
      <x:c r="AA49" s="581" t="n">
        <x:v>25.463158</x:v>
      </x:c>
      <x:c r="AB49" s="581" t="n">
        <x:v>21.363158</x:v>
      </x:c>
      <x:c r="AC49" s="581" t="n">
        <x:v>16.657895</x:v>
      </x:c>
      <x:c r="AD49" s="581" t="n">
        <x:v>11.263158</x:v>
      </x:c>
      <x:c r="AE49" s="563" t="n">
        <x:f>SUM(G49:R49)</x:f>
        <x:v>1695.294737</x:v>
      </x:c>
      <x:c r="AF49" s="20" t="str">
        <x:v>https://re.jrc.ec.europa.eu/api/v5_3/MRcalc?lat=31.911038&amp;lon=131.423886&amp;raddatabase=PVGIS-ERA5&amp;startyear=2005&amp;endyear=2023&amp;selectrad=1&amp;angle=30&amp;aspect=0&amp;avtemp=1&amp;usehorizon=0&amp;outputformat=json</x:v>
      </x:c>
      <x:c r="AG49" s="20" t="str">
        <x:v>06352cf0d4f72715dac47067c6b4a33c12d60fb72ffd19b55bfbeecebfa9eea5</x:v>
      </x:c>
      <x:c r="AH49" s="582" t="n">
        <x:v>46262.6372337963</x:v>
      </x:c>
      <x:c r="AI49" s="20" t="str">
        <x:v>PVGIS-ERA5 2005-2023</x:v>
      </x:c>
      <x:c r="AJ49" s="20" t="str">
        <x:v>pmtiles://https://cyberjapandata.gsi.go.jp/xyz/optimal_bvmap-v1/optimal_bvmap-v1.pmtiles/14/14173/6658</x:v>
      </x:c>
    </x:row>
    <x:row r="50">
      <x:c r="A50" s="20" t="str">
        <x:v>鹿児島県</x:v>
      </x:c>
      <x:c r="B50" s="20" t="str">
        <x:v>46</x:v>
      </x:c>
      <x:c r="C50" s="20" t="str">
        <x:v>鹿児島県庁（鹿児島市）</x:v>
      </x:c>
      <x:c r="D50" s="192" t="n">
        <x:v>31.56017564</x:v>
      </x:c>
      <x:c r="E50" s="192" t="n">
        <x:v>130.55802047</x:v>
      </x:c>
      <x:c r="F50" s="580" t="n">
        <x:v>25</x:v>
      </x:c>
      <x:c r="G50" s="581" t="n">
        <x:v>124.188421</x:v>
      </x:c>
      <x:c r="H50" s="581" t="n">
        <x:v>123.158947</x:v>
      </x:c>
      <x:c r="I50" s="581" t="n">
        <x:v>153.291579</x:v>
      </x:c>
      <x:c r="J50" s="581" t="n">
        <x:v>155.525789</x:v>
      </x:c>
      <x:c r="K50" s="581" t="n">
        <x:v>148.54</x:v>
      </x:c>
      <x:c r="L50" s="581" t="n">
        <x:v>111.438421</x:v>
      </x:c>
      <x:c r="M50" s="581" t="n">
        <x:v>141.665789</x:v>
      </x:c>
      <x:c r="N50" s="581" t="n">
        <x:v>153.716316</x:v>
      </x:c>
      <x:c r="O50" s="581" t="n">
        <x:v>138.922105</x:v>
      </x:c>
      <x:c r="P50" s="581" t="n">
        <x:v>146.392105</x:v>
      </x:c>
      <x:c r="Q50" s="581" t="n">
        <x:v>122.256316</x:v>
      </x:c>
      <x:c r="R50" s="581" t="n">
        <x:v>120.394737</x:v>
      </x:c>
      <x:c r="S50" s="581" t="n">
        <x:v>8.784211</x:v>
      </x:c>
      <x:c r="T50" s="581" t="n">
        <x:v>10.1</x:v>
      </x:c>
      <x:c r="U50" s="581" t="n">
        <x:v>12.984211</x:v>
      </x:c>
      <x:c r="V50" s="581" t="n">
        <x:v>16.847368</x:v>
      </x:c>
      <x:c r="W50" s="581" t="n">
        <x:v>20.8</x:v>
      </x:c>
      <x:c r="X50" s="581" t="n">
        <x:v>23.915789</x:v>
      </x:c>
      <x:c r="Y50" s="581" t="n">
        <x:v>27.605263</x:v>
      </x:c>
      <x:c r="Z50" s="581" t="n">
        <x:v>28.263158</x:v>
      </x:c>
      <x:c r="AA50" s="581" t="n">
        <x:v>25.884211</x:v>
      </x:c>
      <x:c r="AB50" s="581" t="n">
        <x:v>21.078947</x:v>
      </x:c>
      <x:c r="AC50" s="581" t="n">
        <x:v>15.6</x:v>
      </x:c>
      <x:c r="AD50" s="581" t="n">
        <x:v>10.205263</x:v>
      </x:c>
      <x:c r="AE50" s="563" t="n">
        <x:f>SUM(G50:R50)</x:f>
        <x:v>1639.4905250000002</x:v>
      </x:c>
      <x:c r="AF50" s="20" t="str">
        <x:v>https://re.jrc.ec.europa.eu/api/v5_3/MRcalc?lat=31.560176&amp;lon=130.558020&amp;raddatabase=PVGIS-ERA5&amp;startyear=2005&amp;endyear=2023&amp;selectrad=1&amp;angle=30&amp;aspect=0&amp;avtemp=1&amp;usehorizon=0&amp;outputformat=json</x:v>
      </x:c>
      <x:c r="AG50" s="20" t="str">
        <x:v>ea46f697ae95f765e52d9bf9cd3ceb264a05ee452237a8798fb83fa908dd4318</x:v>
      </x:c>
      <x:c r="AH50" s="582" t="n">
        <x:v>46262.637407407405</x:v>
      </x:c>
      <x:c r="AI50" s="20" t="str">
        <x:v>PVGIS-ERA5 2005-2023</x:v>
      </x:c>
      <x:c r="AJ50" s="20" t="str">
        <x:v>pmtiles://https://cyberjapandata.gsi.go.jp/xyz/optimal_bvmap-v1/optimal_bvmap-v1.pmtiles/14/14133/6676</x:v>
      </x:c>
    </x:row>
    <x:row r="51">
      <x:c r="A51" s="20" t="str">
        <x:v>沖縄県</x:v>
      </x:c>
      <x:c r="B51" s="20" t="str">
        <x:v>47</x:v>
      </x:c>
      <x:c r="C51" s="20" t="str">
        <x:v>沖縄県庁（那覇市）</x:v>
      </x:c>
      <x:c r="D51" s="192" t="n">
        <x:v>26.21244937</x:v>
      </x:c>
      <x:c r="E51" s="192" t="n">
        <x:v>127.68091679</x:v>
      </x:c>
      <x:c r="F51" s="580" t="n">
        <x:v>24</x:v>
      </x:c>
      <x:c r="G51" s="581" t="n">
        <x:v>96.814737</x:v>
      </x:c>
      <x:c r="H51" s="581" t="n">
        <x:v>109.377895</x:v>
      </x:c>
      <x:c r="I51" s="581" t="n">
        <x:v>147.261053</x:v>
      </x:c>
      <x:c r="J51" s="581" t="n">
        <x:v>150.316316</x:v>
      </x:c>
      <x:c r="K51" s="581" t="n">
        <x:v>148.467368</x:v>
      </x:c>
      <x:c r="L51" s="581" t="n">
        <x:v>143.297368</x:v>
      </x:c>
      <x:c r="M51" s="581" t="n">
        <x:v>173.653158</x:v>
      </x:c>
      <x:c r="N51" s="581" t="n">
        <x:v>173.39</x:v>
      </x:c>
      <x:c r="O51" s="581" t="n">
        <x:v>169.026316</x:v>
      </x:c>
      <x:c r="P51" s="581" t="n">
        <x:v>154.961579</x:v>
      </x:c>
      <x:c r="Q51" s="581" t="n">
        <x:v>117.132105</x:v>
      </x:c>
      <x:c r="R51" s="581" t="n">
        <x:v>95.493684</x:v>
      </x:c>
      <x:c r="S51" s="581" t="n">
        <x:v>17.715789</x:v>
      </x:c>
      <x:c r="T51" s="581" t="n">
        <x:v>18.189474</x:v>
      </x:c>
      <x:c r="U51" s="581" t="n">
        <x:v>19.221053</x:v>
      </x:c>
      <x:c r="V51" s="581" t="n">
        <x:v>21.257895</x:v>
      </x:c>
      <x:c r="W51" s="581" t="n">
        <x:v>24</x:v>
      </x:c>
      <x:c r="X51" s="581" t="n">
        <x:v>26.673684</x:v>
      </x:c>
      <x:c r="Y51" s="581" t="n">
        <x:v>28.236842</x:v>
      </x:c>
      <x:c r="Z51" s="581" t="n">
        <x:v>28.2</x:v>
      </x:c>
      <x:c r="AA51" s="581" t="n">
        <x:v>27.452632</x:v>
      </x:c>
      <x:c r="AB51" s="581" t="n">
        <x:v>25.373684</x:v>
      </x:c>
      <x:c r="AC51" s="581" t="n">
        <x:v>22.610526</x:v>
      </x:c>
      <x:c r="AD51" s="581" t="n">
        <x:v>19.073684</x:v>
      </x:c>
      <x:c r="AE51" s="563" t="n">
        <x:f>SUM(G51:R51)</x:f>
        <x:v>1679.1915789999998</x:v>
      </x:c>
      <x:c r="AF51" s="20" t="str">
        <x:v>https://re.jrc.ec.europa.eu/api/v5_3/MRcalc?lat=26.212449&amp;lon=127.680917&amp;raddatabase=PVGIS-ERA5&amp;startyear=2005&amp;endyear=2023&amp;selectrad=1&amp;angle=30&amp;aspect=0&amp;avtemp=1&amp;usehorizon=0&amp;outputformat=json</x:v>
      </x:c>
      <x:c r="AG51" s="20" t="str">
        <x:v>8bd0fe0e2a105a8c5e086dba8de043e9c1bbd9495071f39b3f7454170b52c56d</x:v>
      </x:c>
      <x:c r="AH51" s="582" t="n">
        <x:v>46262.637407407405</x:v>
      </x:c>
      <x:c r="AI51" s="20" t="str">
        <x:v>PVGIS-ERA5 2005-2023</x:v>
      </x:c>
      <x:c r="AJ51" s="20" t="str">
        <x:v>pmtiles://https://cyberjapandata.gsi.go.jp/xyz/optimal_bvmap-v1/optimal_bvmap-v1.pmtiles/14/14002/6955</x:v>
      </x:c>
    </x:row>
    <x:row r="52">
      <x:c r="A52" s="527"/>
      <x:c r="B52" s="527"/>
      <x:c r="C52" s="527"/>
      <x:c r="D52" s="527"/>
      <x:c r="E52" s="527"/>
      <x:c r="F52" s="527"/>
      <x:c r="G52" s="527"/>
      <x:c r="H52" s="527"/>
      <x:c r="I52" s="527"/>
      <x:c r="J52" s="527"/>
      <x:c r="K52" s="527"/>
      <x:c r="L52" s="527"/>
      <x:c r="M52" s="527"/>
      <x:c r="N52" s="527"/>
      <x:c r="O52" s="527"/>
      <x:c r="P52" s="527"/>
      <x:c r="Q52" s="527"/>
      <x:c r="R52" s="527"/>
      <x:c r="S52" s="527"/>
      <x:c r="T52" s="527"/>
      <x:c r="U52" s="527"/>
      <x:c r="V52" s="527"/>
      <x:c r="W52" s="527"/>
      <x:c r="X52" s="527"/>
      <x:c r="Y52" s="527"/>
      <x:c r="Z52" s="527"/>
      <x:c r="AA52" s="527"/>
      <x:c r="AB52" s="527"/>
      <x:c r="AC52" s="527"/>
      <x:c r="AD52" s="527"/>
      <x:c r="AE52" s="527"/>
      <x:c r="AF52" s="527"/>
      <x:c r="AG52" s="527"/>
      <x:c r="AH52" s="527"/>
      <x:c r="AI52" s="527"/>
      <x:c r="AJ52" s="527"/>
    </x:row>
    <x:row r="53">
      <x:c r="A53" s="527"/>
      <x:c r="B53" s="527"/>
      <x:c r="C53" s="527"/>
      <x:c r="D53" s="527"/>
      <x:c r="E53" s="527"/>
      <x:c r="F53" s="527"/>
      <x:c r="G53" s="527"/>
      <x:c r="H53" s="527"/>
      <x:c r="I53" s="527"/>
      <x:c r="J53" s="527"/>
      <x:c r="K53" s="527"/>
      <x:c r="L53" s="527"/>
      <x:c r="M53" s="527"/>
      <x:c r="N53" s="527"/>
      <x:c r="O53" s="527"/>
      <x:c r="P53" s="527"/>
      <x:c r="Q53" s="527"/>
      <x:c r="R53" s="527"/>
      <x:c r="S53" s="527"/>
      <x:c r="T53" s="527"/>
      <x:c r="U53" s="527"/>
      <x:c r="V53" s="527"/>
      <x:c r="W53" s="527"/>
      <x:c r="X53" s="527"/>
      <x:c r="Y53" s="527"/>
      <x:c r="Z53" s="527"/>
      <x:c r="AA53" s="527"/>
      <x:c r="AB53" s="527"/>
      <x:c r="AC53" s="527"/>
      <x:c r="AD53" s="527"/>
      <x:c r="AE53" s="527"/>
      <x:c r="AF53" s="527"/>
      <x:c r="AG53" s="527"/>
      <x:c r="AH53" s="527"/>
      <x:c r="AI53" s="527"/>
      <x:c r="AJ53" s="527"/>
    </x:row>
    <x:row r="54">
      <x:c r="A54" s="527"/>
      <x:c r="B54" s="527"/>
      <x:c r="C54" s="527"/>
      <x:c r="D54" s="527"/>
      <x:c r="E54" s="527"/>
      <x:c r="F54" s="527"/>
      <x:c r="G54" s="527"/>
      <x:c r="H54" s="527"/>
      <x:c r="I54" s="527"/>
      <x:c r="J54" s="527"/>
      <x:c r="K54" s="527"/>
      <x:c r="L54" s="527"/>
      <x:c r="M54" s="527"/>
      <x:c r="N54" s="527"/>
      <x:c r="O54" s="527"/>
      <x:c r="P54" s="527"/>
      <x:c r="Q54" s="527"/>
      <x:c r="R54" s="527"/>
      <x:c r="S54" s="527"/>
      <x:c r="T54" s="527"/>
      <x:c r="U54" s="527"/>
      <x:c r="V54" s="527"/>
      <x:c r="W54" s="527"/>
      <x:c r="X54" s="527"/>
      <x:c r="Y54" s="527"/>
      <x:c r="Z54" s="527"/>
      <x:c r="AA54" s="527"/>
      <x:c r="AB54" s="527"/>
      <x:c r="AC54" s="527"/>
      <x:c r="AD54" s="527"/>
      <x:c r="AE54" s="527"/>
      <x:c r="AF54" s="527"/>
      <x:c r="AG54" s="527"/>
      <x:c r="AH54" s="527"/>
      <x:c r="AI54" s="527"/>
      <x:c r="AJ54" s="527"/>
    </x:row>
    <x:row r="55">
      <x:c r="A55" s="527"/>
      <x:c r="B55" s="527"/>
      <x:c r="C55" s="527"/>
      <x:c r="D55" s="527"/>
      <x:c r="E55" s="527"/>
      <x:c r="F55" s="527"/>
      <x:c r="G55" s="527"/>
      <x:c r="H55" s="527"/>
      <x:c r="I55" s="527"/>
      <x:c r="J55" s="527"/>
      <x:c r="K55" s="527"/>
      <x:c r="L55" s="527"/>
      <x:c r="M55" s="527"/>
      <x:c r="N55" s="527"/>
      <x:c r="O55" s="527"/>
      <x:c r="P55" s="527"/>
      <x:c r="Q55" s="527"/>
      <x:c r="R55" s="527"/>
      <x:c r="S55" s="527"/>
      <x:c r="T55" s="527"/>
      <x:c r="U55" s="527"/>
      <x:c r="V55" s="527"/>
      <x:c r="W55" s="527"/>
      <x:c r="X55" s="527"/>
      <x:c r="Y55" s="527"/>
      <x:c r="Z55" s="527"/>
      <x:c r="AA55" s="527"/>
      <x:c r="AB55" s="527"/>
      <x:c r="AC55" s="527"/>
      <x:c r="AD55" s="527"/>
      <x:c r="AE55" s="527"/>
      <x:c r="AF55" s="527"/>
      <x:c r="AG55" s="527"/>
      <x:c r="AH55" s="527"/>
      <x:c r="AI55" s="527"/>
      <x:c r="AJ55" s="527"/>
    </x:row>
  </x:sheetData>
  <x:sheetProtection sheet="1" objects="0" scenarios="1" formatCells="1" formatColumns="1" formatRows="1" insertColumns="1" insertRows="1" insertHyperlinks="1" deleteColumns="1" deleteRows="1" selectLockedCells="0" selectUnlockedCells="0"/>
  <x:mergeCells>
    <x:mergeCell ref="A1:AJ2"/>
    <x:mergeCell ref="A3:AJ3"/>
  </x:mergeCells>
  <x:conditionalFormatting sqref="G5:AD51">
    <x:cfRule type="colorScale" priority="1">
      <x:colorScale>
        <x:cfvo type="min"/>
        <x:cfvo type="percentile" val="50"/>
        <x:cfvo type="max"/>
        <x:color rgb="FFFFFFFF"/>
        <x:color rgb="FFD6EFEC"/>
        <x:color rgb="FFA8DBD5"/>
      </x:colorScale>
    </x:cfRule>
  </x:conditionalFormatting>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9" hidden="0" customWidth="1"/>
    <x:col min="2" max="2" width="9" hidden="0" customWidth="1"/>
    <x:col min="3" max="3" width="9"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 min="16" max="16" width="13" hidden="0" customWidth="1"/>
    <x:col min="17" max="17" width="13" hidden="0" customWidth="1"/>
  </x:cols>
  <x:sheetData>
    <x:row r="1">
      <x:c r="A1" s="526" t="str">
        <x:v>内部計算｜初年度・月次</x:v>
      </x:c>
      <x:c r="B1" s="526"/>
      <x:c r="C1" s="526"/>
      <x:c r="D1" s="526"/>
      <x:c r="E1" s="526"/>
      <x:c r="F1" s="526"/>
      <x:c r="G1" s="526"/>
      <x:c r="H1" s="526"/>
      <x:c r="I1" s="526"/>
      <x:c r="J1" s="526"/>
      <x:c r="K1" s="526"/>
      <x:c r="L1" s="526"/>
      <x:c r="M1" s="526"/>
      <x:c r="N1" s="526"/>
      <x:c r="O1" s="526"/>
      <x:c r="P1" s="526"/>
      <x:c r="Q1" s="526"/>
    </x:row>
    <x:row r="2">
      <x:c r="A2" s="526"/>
      <x:c r="B2" s="526"/>
      <x:c r="C2" s="526"/>
      <x:c r="D2" s="526"/>
      <x:c r="E2" s="526"/>
      <x:c r="F2" s="526"/>
      <x:c r="G2" s="526"/>
      <x:c r="H2" s="526"/>
      <x:c r="I2" s="526"/>
      <x:c r="J2" s="526"/>
      <x:c r="K2" s="526"/>
      <x:c r="L2" s="526"/>
      <x:c r="M2" s="526"/>
      <x:c r="N2" s="526"/>
      <x:c r="O2" s="526"/>
      <x:c r="P2" s="526"/>
      <x:c r="Q2" s="526"/>
    </x:row>
    <x:row r="3">
      <x:c r="A3" s="8" t="str">
        <x:v>H_mは月積算POAのため日数を再度掛けません。丸めは表示のみです。自家消費＋売電＝発電の残差をQ列で検査します。</x:v>
      </x:c>
      <x:c r="B3" s="8"/>
      <x:c r="C3" s="8"/>
      <x:c r="D3" s="8"/>
      <x:c r="E3" s="8"/>
      <x:c r="F3" s="8"/>
      <x:c r="G3" s="8"/>
      <x:c r="H3" s="8"/>
      <x:c r="I3" s="8"/>
      <x:c r="J3" s="8"/>
      <x:c r="K3" s="8"/>
      <x:c r="L3" s="8"/>
      <x:c r="M3" s="8"/>
      <x:c r="N3" s="8"/>
      <x:c r="O3" s="8"/>
      <x:c r="P3" s="8"/>
      <x:c r="Q3" s="8"/>
    </x:row>
    <x:row r="4">
      <x:c r="A4" s="13" t="str">
        <x:v>月番号</x:v>
      </x:c>
      <x:c r="B4" s="13" t="str">
        <x:v>月</x:v>
      </x:c>
      <x:c r="C4" s="13" t="str">
        <x:v>日数</x:v>
      </x:c>
      <x:c r="D4" s="13" t="str">
        <x:v>需要配分</x:v>
      </x:c>
      <x:c r="E4" s="13" t="str">
        <x:v>POA kWh/m²/月</x:v>
      </x:c>
      <x:c r="F4" s="13" t="str">
        <x:v>外気温℃</x:v>
      </x:c>
      <x:c r="G4" s="13" t="str">
        <x:v>TCR℃</x:v>
      </x:c>
      <x:c r="H4" s="13" t="str">
        <x:v>KPT</x:v>
      </x:c>
      <x:c r="I4" s="13" t="str">
        <x:v>K</x:v>
      </x:c>
      <x:c r="J4" s="13" t="str">
        <x:v>発電kWh</x:v>
      </x:c>
      <x:c r="K4" s="13" t="str">
        <x:v>需要kWh</x:v>
      </x:c>
      <x:c r="L4" s="13" t="str">
        <x:v>自家消費kWh</x:v>
      </x:c>
      <x:c r="M4" s="13" t="str">
        <x:v>売電kWh</x:v>
      </x:c>
      <x:c r="N4" s="13" t="str">
        <x:v>電気代削減円</x:v>
      </x:c>
      <x:c r="O4" s="13" t="str">
        <x:v>売電収入円</x:v>
      </x:c>
      <x:c r="P4" s="13" t="str">
        <x:v>経済効果円</x:v>
      </x:c>
      <x:c r="Q4" s="13" t="str">
        <x:v>収支残差kWh</x:v>
      </x:c>
    </x:row>
    <x:row r="5">
      <x:c r="A5" s="20" t="n">
        <x:v>1</x:v>
      </x:c>
      <x:c r="B5" s="20" t="str">
        <x:v>1月</x:v>
      </x:c>
      <x:c r="C5" s="20" t="n">
        <x:v>31</x:v>
      </x:c>
      <x:c r="D5" s="189" t="n">
        <x:f>MAX('_設定'!$C$6,0)</x:f>
        <x:v>0.1</x:v>
      </x:c>
      <x:c r="E5" s="192" t="n">
        <x:f>IF('3分入力'!$D$20="METPV-20等の入力",IF('_設定'!$J$22=1,MAX(IFERROR('METPV-20入力'!$B$8,0),0),0),MAX(IFERROR(VLOOKUP('3分入力'!$D$6,'_地点データ'!$A$5:$AE$51,7,FALSE),0),0))</x:f>
        <x:v>133.425263</x:v>
      </x:c>
      <x:c r="F5" s="192" t="n">
        <x:f>IF('3分入力'!$D$20="METPV-20等の入力",IF('_設定'!$J$22=1,IFERROR('METPV-20入力'!$C$8,0),0),IFERROR(VLOOKUP('3分入力'!$D$6,'_地点データ'!$A$5:$AE$51,19,FALSE),0))</x:f>
        <x:v>4.410526</x:v>
      </x:c>
      <x:c r="G5" s="192" t="n">
        <x:f>F5+'詳細設定'!$D$29</x:f>
        <x:v>25.910526</x:v>
      </x:c>
      <x:c r="H5" s="192" t="n">
        <x:f>MAX(1+'詳細設定'!$D$28*(G5-25)/100,0)</x:f>
        <x:v>0.995902633</x:v>
      </x:c>
      <x:c r="I5" s="192" t="n">
        <x:f>MAX('詳細設定'!$D$31,0)*H5</x:f>
        <x:v>0.7531028956251018</x:v>
      </x:c>
      <x:c r="J5" s="563" t="n">
        <x:f>IF('_設定'!$J$23=1,MAX(I5*MAX('3分入力'!$D$8,0)*E5/'詳細設定'!$D$30*MAX('詳細設定'!$D$20,0),0),0)</x:f>
        <x:v>502.4147595742038</x:v>
      </x:c>
      <x:c r="K5" s="563" t="n">
        <x:f>IF('_設定'!$J$23=1,MAX('3分入力'!$D$10,0)*D5,0)</x:f>
        <x:v>450</x:v>
      </x:c>
      <x:c r="L5" s="563" t="n">
        <x:f>MAX(MIN(J5*MAX(MIN('詳細設定'!$D$15,1),0),K5),0)</x:f>
        <x:v>200.96590382968154</x:v>
      </x:c>
      <x:c r="M5" s="563" t="n">
        <x:f>MAX(J5-L5,0)</x:f>
        <x:v>301.44885574452223</x:v>
      </x:c>
      <x:c r="N5" s="190" t="n">
        <x:f>L5*MAX('詳細設定'!$D$6,0)</x:f>
        <x:v>7033.806634038854</x:v>
      </x:c>
      <x:c r="O5" s="190" t="n">
        <x:f>M5*MAX('詳細設定'!$D$7,0)</x:f>
        <x:v>7234.772537868534</x:v>
      </x:c>
      <x:c r="P5" s="190" t="n">
        <x:f>N5+O5</x:f>
        <x:v>14268.579171907388</x:v>
      </x:c>
      <x:c r="Q5" s="196" t="n">
        <x:f>J5-L5-M5</x:f>
        <x:v>0</x:v>
      </x:c>
    </x:row>
    <x:row r="6">
      <x:c r="A6" s="20" t="n">
        <x:v>2</x:v>
      </x:c>
      <x:c r="B6" s="20" t="str">
        <x:v>2月</x:v>
      </x:c>
      <x:c r="C6" s="20" t="n">
        <x:v>28</x:v>
      </x:c>
      <x:c r="D6" s="189" t="n">
        <x:f>MAX('_設定'!$C$7,0)</x:f>
        <x:v>0.09</x:v>
      </x:c>
      <x:c r="E6" s="192" t="n">
        <x:f>IF('3分入力'!$D$20="METPV-20等の入力",IF('_設定'!$J$22=1,MAX(IFERROR('METPV-20入力'!$B$9,0),0),0),MAX(IFERROR(VLOOKUP('3分入力'!$D$6,'_地点データ'!$A$5:$AE$51,8,FALSE),0),0))</x:f>
        <x:v>126.079474</x:v>
      </x:c>
      <x:c r="F6" s="192" t="n">
        <x:f>IF('3分入力'!$D$20="METPV-20等の入力",IF('_設定'!$J$22=1,IFERROR('METPV-20入力'!$C$9,0),0),IFERROR(VLOOKUP('3分入力'!$D$6,'_地点データ'!$A$5:$AE$51,20,FALSE),0))</x:f>
        <x:v>5.484211</x:v>
      </x:c>
      <x:c r="G6" s="192" t="n">
        <x:f>F6+'詳細設定'!$D$29</x:f>
        <x:v>26.984211000000002</x:v>
      </x:c>
      <x:c r="H6" s="192" t="n">
        <x:f>MAX(1+'詳細設定'!$D$28*(G6-25)/100,0)</x:f>
        <x:v>0.9910710505</x:v>
      </x:c>
      <x:c r="I6" s="192" t="n">
        <x:f>MAX('詳細設定'!$D$31,0)*H6</x:f>
        <x:v>0.749449246512597</x:v>
      </x:c>
      <x:c r="J6" s="563" t="n">
        <x:f>IF('_設定'!$J$23=1,MAX(I6*MAX('3分入力'!$D$8,0)*E6/'詳細設定'!$D$30*MAX('詳細設定'!$D$20,0),0),0)</x:f>
        <x:v>472.4508339500229</x:v>
      </x:c>
      <x:c r="K6" s="563" t="n">
        <x:f>IF('_設定'!$J$23=1,MAX('3分入力'!$D$10,0)*D6,0)</x:f>
        <x:v>405</x:v>
      </x:c>
      <x:c r="L6" s="563" t="n">
        <x:f>MAX(MIN(J6*MAX(MIN('詳細設定'!$D$15,1),0),K6),0)</x:f>
        <x:v>188.9803335800092</x:v>
      </x:c>
      <x:c r="M6" s="563" t="n">
        <x:f>MAX(J6-L6,0)</x:f>
        <x:v>283.4705003700137</x:v>
      </x:c>
      <x:c r="N6" s="190" t="n">
        <x:f>L6*MAX('詳細設定'!$D$6,0)</x:f>
        <x:v>6614.311675300321</x:v>
      </x:c>
      <x:c r="O6" s="190" t="n">
        <x:f>M6*MAX('詳細設定'!$D$7,0)</x:f>
        <x:v>6803.292008880329</x:v>
      </x:c>
      <x:c r="P6" s="190" t="n">
        <x:f>N6+O6</x:f>
        <x:v>13417.60368418065</x:v>
      </x:c>
      <x:c r="Q6" s="196" t="n">
        <x:f>J6-L6-M6</x:f>
        <x:v>0</x:v>
      </x:c>
    </x:row>
    <x:row r="7">
      <x:c r="A7" s="20" t="n">
        <x:v>3</x:v>
      </x:c>
      <x:c r="B7" s="20" t="str">
        <x:v>3月</x:v>
      </x:c>
      <x:c r="C7" s="20" t="n">
        <x:v>31</x:v>
      </x:c>
      <x:c r="D7" s="189" t="n">
        <x:f>MAX('_設定'!$C$8,0)</x:f>
        <x:v>0.08</x:v>
      </x:c>
      <x:c r="E7" s="192" t="n">
        <x:f>IF('3分入力'!$D$20="METPV-20等の入力",IF('_設定'!$J$22=1,MAX(IFERROR('METPV-20入力'!$B$10,0),0),0),MAX(IFERROR(VLOOKUP('3分入力'!$D$6,'_地点データ'!$A$5:$AE$51,9,FALSE),0),0))</x:f>
        <x:v>148.788947</x:v>
      </x:c>
      <x:c r="F7" s="192" t="n">
        <x:f>IF('3分入力'!$D$20="METPV-20等の入力",IF('_設定'!$J$22=1,IFERROR('METPV-20入力'!$C$10,0),0),IFERROR(VLOOKUP('3分入力'!$D$6,'_地点データ'!$A$5:$AE$51,21,FALSE),0))</x:f>
        <x:v>9.121053</x:v>
      </x:c>
      <x:c r="G7" s="192" t="n">
        <x:f>F7+'詳細設定'!$D$29</x:f>
        <x:v>30.621053</x:v>
      </x:c>
      <x:c r="H7" s="192" t="n">
        <x:f>MAX(1+'詳細設定'!$D$28*(G7-25)/100,0)</x:f>
        <x:v>0.9747052615</x:v>
      </x:c>
      <x:c r="I7" s="192" t="n">
        <x:f>MAX('詳細設定'!$D$31,0)*H7</x:f>
        <x:v>0.7370734151042977</x:v>
      </x:c>
      <x:c r="J7" s="563" t="n">
        <x:f>IF('_設定'!$J$23=1,MAX(I7*MAX('3分入力'!$D$8,0)*E7/'詳細設定'!$D$30*MAX('詳細設定'!$D$20,0),0),0)</x:f>
        <x:v>548.3418864753118</x:v>
      </x:c>
      <x:c r="K7" s="563" t="n">
        <x:f>IF('_設定'!$J$23=1,MAX('3分入力'!$D$10,0)*D7,0)</x:f>
        <x:v>360</x:v>
      </x:c>
      <x:c r="L7" s="563" t="n">
        <x:f>MAX(MIN(J7*MAX(MIN('詳細設定'!$D$15,1),0),K7),0)</x:f>
        <x:v>219.3367545901247</x:v>
      </x:c>
      <x:c r="M7" s="563" t="n">
        <x:f>MAX(J7-L7,0)</x:f>
        <x:v>329.00513188518704</x:v>
      </x:c>
      <x:c r="N7" s="190" t="n">
        <x:f>L7*MAX('詳細設定'!$D$6,0)</x:f>
        <x:v>7676.786410654365</x:v>
      </x:c>
      <x:c r="O7" s="190" t="n">
        <x:f>M7*MAX('詳細設定'!$D$7,0)</x:f>
        <x:v>7896.123165244489</x:v>
      </x:c>
      <x:c r="P7" s="190" t="n">
        <x:f>N7+O7</x:f>
        <x:v>15572.909575898855</x:v>
      </x:c>
      <x:c r="Q7" s="196" t="n">
        <x:f>J7-L7-M7</x:f>
        <x:v>0</x:v>
      </x:c>
    </x:row>
    <x:row r="8">
      <x:c r="A8" s="20" t="n">
        <x:v>4</x:v>
      </x:c>
      <x:c r="B8" s="20" t="str">
        <x:v>4月</x:v>
      </x:c>
      <x:c r="C8" s="20" t="n">
        <x:v>30</x:v>
      </x:c>
      <x:c r="D8" s="189" t="n">
        <x:f>MAX('_設定'!$C$9,0)</x:f>
        <x:v>0.07</x:v>
      </x:c>
      <x:c r="E8" s="192" t="n">
        <x:f>IF('3分入力'!$D$20="METPV-20等の入力",IF('_設定'!$J$22=1,MAX(IFERROR('METPV-20入力'!$B$11,0),0),0),MAX(IFERROR(VLOOKUP('3分入力'!$D$6,'_地点データ'!$A$5:$AE$51,10,FALSE),0),0))</x:f>
        <x:v>151.948947</x:v>
      </x:c>
      <x:c r="F8" s="192" t="n">
        <x:f>IF('3分入力'!$D$20="METPV-20等の入力",IF('_設定'!$J$22=1,IFERROR('METPV-20入力'!$C$11,0),0),IFERROR(VLOOKUP('3分入力'!$D$6,'_地点データ'!$A$5:$AE$51,22,FALSE),0))</x:f>
        <x:v>13.605263</x:v>
      </x:c>
      <x:c r="G8" s="192" t="n">
        <x:f>F8+'詳細設定'!$D$29</x:f>
        <x:v>35.105263</x:v>
      </x:c>
      <x:c r="H8" s="192" t="n">
        <x:f>MAX(1+'詳細設定'!$D$28*(G8-25)/100,0)</x:f>
        <x:v>0.9545263165</x:v>
      </x:c>
      <x:c r="I8" s="192" t="n">
        <x:f>MAX('詳細設定'!$D$31,0)*H8</x:f>
        <x:v>0.7218140700573008</x:v>
      </x:c>
      <x:c r="J8" s="563" t="n">
        <x:f>IF('_設定'!$J$23=1,MAX(I8*MAX('3分入力'!$D$8,0)*E8/'詳細設定'!$D$30*MAX('詳細設定'!$D$20,0),0),0)</x:f>
        <x:v>548.3944393749554</x:v>
      </x:c>
      <x:c r="K8" s="563" t="n">
        <x:f>IF('_設定'!$J$23=1,MAX('3分入力'!$D$10,0)*D8,0)</x:f>
        <x:v>315.00000000000006</x:v>
      </x:c>
      <x:c r="L8" s="563" t="n">
        <x:f>MAX(MIN(J8*MAX(MIN('詳細設定'!$D$15,1),0),K8),0)</x:f>
        <x:v>219.35777574998215</x:v>
      </x:c>
      <x:c r="M8" s="563" t="n">
        <x:f>MAX(J8-L8,0)</x:f>
        <x:v>329.03666362497324</x:v>
      </x:c>
      <x:c r="N8" s="190" t="n">
        <x:f>L8*MAX('詳細設定'!$D$6,0)</x:f>
        <x:v>7677.522151249375</x:v>
      </x:c>
      <x:c r="O8" s="190" t="n">
        <x:f>M8*MAX('詳細設定'!$D$7,0)</x:f>
        <x:v>7896.879926999358</x:v>
      </x:c>
      <x:c r="P8" s="190" t="n">
        <x:f>N8+O8</x:f>
        <x:v>15574.402078248733</x:v>
      </x:c>
      <x:c r="Q8" s="196" t="n">
        <x:f>J8-L8-M8</x:f>
        <x:v>0</x:v>
      </x:c>
    </x:row>
    <x:row r="9">
      <x:c r="A9" s="20" t="n">
        <x:v>5</x:v>
      </x:c>
      <x:c r="B9" s="20" t="str">
        <x:v>5月</x:v>
      </x:c>
      <x:c r="C9" s="20" t="n">
        <x:v>31</x:v>
      </x:c>
      <x:c r="D9" s="189" t="n">
        <x:f>MAX('_設定'!$C$10,0)</x:f>
        <x:v>0.07</x:v>
      </x:c>
      <x:c r="E9" s="192" t="n">
        <x:f>IF('3分入力'!$D$20="METPV-20等の入力",IF('_設定'!$J$22=1,MAX(IFERROR('METPV-20入力'!$B$12,0),0),0),MAX(IFERROR(VLOOKUP('3分入力'!$D$6,'_地点データ'!$A$5:$AE$51,11,FALSE),0),0))</x:f>
        <x:v>156.476842</x:v>
      </x:c>
      <x:c r="F9" s="192" t="n">
        <x:f>IF('3分入力'!$D$20="METPV-20等の入力",IF('_設定'!$J$22=1,IFERROR('METPV-20入力'!$C$12,0),0),IFERROR(VLOOKUP('3分入力'!$D$6,'_地点データ'!$A$5:$AE$51,23,FALSE),0))</x:f>
        <x:v>18.3</x:v>
      </x:c>
      <x:c r="G9" s="192" t="n">
        <x:f>F9+'詳細設定'!$D$29</x:f>
        <x:v>39.8</x:v>
      </x:c>
      <x:c r="H9" s="192" t="n">
        <x:f>MAX(1+'詳細設定'!$D$28*(G9-25)/100,0)</x:f>
        <x:v>0.9334</x:v>
      </x:c>
      <x:c r="I9" s="192" t="n">
        <x:f>MAX('詳細設定'!$D$31,0)*H9</x:f>
        <x:v>0.7058383214219999</x:v>
      </x:c>
      <x:c r="J9" s="563" t="n">
        <x:f>IF('_設定'!$J$23=1,MAX(I9*MAX('3分入力'!$D$8,0)*E9/'詳細設定'!$D$30*MAX('詳細設定'!$D$20,0),0),0)</x:f>
        <x:v>552.2367574934775</x:v>
      </x:c>
      <x:c r="K9" s="563" t="n">
        <x:f>IF('_設定'!$J$23=1,MAX('3分入力'!$D$10,0)*D9,0)</x:f>
        <x:v>315.00000000000006</x:v>
      </x:c>
      <x:c r="L9" s="563" t="n">
        <x:f>MAX(MIN(J9*MAX(MIN('詳細設定'!$D$15,1),0),K9),0)</x:f>
        <x:v>220.89470299739102</x:v>
      </x:c>
      <x:c r="M9" s="563" t="n">
        <x:f>MAX(J9-L9,0)</x:f>
        <x:v>331.34205449608646</x:v>
      </x:c>
      <x:c r="N9" s="190" t="n">
        <x:f>L9*MAX('詳細設定'!$D$6,0)</x:f>
        <x:v>7731.314604908685</x:v>
      </x:c>
      <x:c r="O9" s="190" t="n">
        <x:f>M9*MAX('詳細設定'!$D$7,0)</x:f>
        <x:v>7952.209307906075</x:v>
      </x:c>
      <x:c r="P9" s="190" t="n">
        <x:f>N9+O9</x:f>
        <x:v>15683.52391281476</x:v>
      </x:c>
      <x:c r="Q9" s="196" t="n">
        <x:f>J9-L9-M9</x:f>
        <x:v>0</x:v>
      </x:c>
    </x:row>
    <x:row r="10">
      <x:c r="A10" s="20" t="n">
        <x:v>6</x:v>
      </x:c>
      <x:c r="B10" s="20" t="str">
        <x:v>6月</x:v>
      </x:c>
      <x:c r="C10" s="20" t="n">
        <x:v>30</x:v>
      </x:c>
      <x:c r="D10" s="189" t="n">
        <x:f>MAX('_設定'!$C$11,0)</x:f>
        <x:v>0.08</x:v>
      </x:c>
      <x:c r="E10" s="192" t="n">
        <x:f>IF('3分入力'!$D$20="METPV-20等の入力",IF('_設定'!$J$22=1,MAX(IFERROR('METPV-20入力'!$B$13,0),0),0),MAX(IFERROR(VLOOKUP('3分入力'!$D$6,'_地点データ'!$A$5:$AE$51,12,FALSE),0),0))</x:f>
        <x:v>129.283684</x:v>
      </x:c>
      <x:c r="F10" s="192" t="n">
        <x:f>IF('3分入力'!$D$20="METPV-20等の入力",IF('_設定'!$J$22=1,IFERROR('METPV-20入力'!$C$13,0),0),IFERROR(VLOOKUP('3分入力'!$D$6,'_地点データ'!$A$5:$AE$51,24,FALSE),0))</x:f>
        <x:v>21.694737</x:v>
      </x:c>
      <x:c r="G10" s="192" t="n">
        <x:f>F10+'詳細設定'!$D$29</x:f>
        <x:v>43.194737</x:v>
      </x:c>
      <x:c r="H10" s="192" t="n">
        <x:f>MAX(1+'詳細設定'!$D$28*(G10-25)/100,0)</x:f>
        <x:v>0.9181236835</x:v>
      </x:c>
      <x:c r="I10" s="192" t="n">
        <x:f>MAX('詳細設定'!$D$31,0)*H10</x:f>
        <x:v>0.6942863505671989</x:v>
      </x:c>
      <x:c r="J10" s="563" t="n">
        <x:f>IF('_設定'!$J$23=1,MAX(I10*MAX('3分入力'!$D$8,0)*E10/'詳細設定'!$D$30*MAX('詳細設定'!$D$20,0),0),0)</x:f>
        <x:v>448.7994857612148</x:v>
      </x:c>
      <x:c r="K10" s="563" t="n">
        <x:f>IF('_設定'!$J$23=1,MAX('3分入力'!$D$10,0)*D10,0)</x:f>
        <x:v>360</x:v>
      </x:c>
      <x:c r="L10" s="563" t="n">
        <x:f>MAX(MIN(J10*MAX(MIN('詳細設定'!$D$15,1),0),K10),0)</x:f>
        <x:v>179.5197943044859</x:v>
      </x:c>
      <x:c r="M10" s="563" t="n">
        <x:f>MAX(J10-L10,0)</x:f>
        <x:v>269.27969145672887</x:v>
      </x:c>
      <x:c r="N10" s="190" t="n">
        <x:f>L10*MAX('詳細設定'!$D$6,0)</x:f>
        <x:v>6283.192800657007</x:v>
      </x:c>
      <x:c r="O10" s="190" t="n">
        <x:f>M10*MAX('詳細設定'!$D$7,0)</x:f>
        <x:v>6462.712594961493</x:v>
      </x:c>
      <x:c r="P10" s="190" t="n">
        <x:f>N10+O10</x:f>
        <x:v>12745.9053956185</x:v>
      </x:c>
      <x:c r="Q10" s="196" t="n">
        <x:f>J10-L10-M10</x:f>
        <x:v>0</x:v>
      </x:c>
    </x:row>
    <x:row r="11">
      <x:c r="A11" s="20" t="n">
        <x:v>7</x:v>
      </x:c>
      <x:c r="B11" s="20" t="str">
        <x:v>7月</x:v>
      </x:c>
      <x:c r="C11" s="20" t="n">
        <x:v>31</x:v>
      </x:c>
      <x:c r="D11" s="189" t="n">
        <x:f>MAX('_設定'!$C$12,0)</x:f>
        <x:v>0.09</x:v>
      </x:c>
      <x:c r="E11" s="192" t="n">
        <x:f>IF('3分入力'!$D$20="METPV-20等の入力",IF('_設定'!$J$22=1,MAX(IFERROR('METPV-20入力'!$B$14,0),0),0),MAX(IFERROR(VLOOKUP('3分入力'!$D$6,'_地点データ'!$A$5:$AE$51,13,FALSE),0),0))</x:f>
        <x:v>139.598421</x:v>
      </x:c>
      <x:c r="F11" s="192" t="n">
        <x:f>IF('3分入力'!$D$20="METPV-20等の入力",IF('_設定'!$J$22=1,IFERROR('METPV-20入力'!$C$14,0),0),IFERROR(VLOOKUP('3分入力'!$D$6,'_地点データ'!$A$5:$AE$51,25,FALSE),0))</x:f>
        <x:v>25.310526</x:v>
      </x:c>
      <x:c r="G11" s="192" t="n">
        <x:f>F11+'詳細設定'!$D$29</x:f>
        <x:v>46.810525999999996</x:v>
      </x:c>
      <x:c r="H11" s="192" t="n">
        <x:f>MAX(1+'詳細設定'!$D$28*(G11-25)/100,0)</x:f>
        <x:v>0.9018526330000001</x:v>
      </x:c>
      <x:c r="I11" s="192" t="n">
        <x:f>MAX('詳細設定'!$D$31,0)*H11</x:f>
        <x:v>0.6819821605386018</x:v>
      </x:c>
      <x:c r="J11" s="563" t="n">
        <x:f>IF('_設定'!$J$23=1,MAX(I11*MAX('3分入力'!$D$8,0)*E11/'詳細設定'!$D$30*MAX('詳細設定'!$D$20,0),0),0)</x:f>
        <x:v>476.0181638067866</x:v>
      </x:c>
      <x:c r="K11" s="563" t="n">
        <x:f>IF('_設定'!$J$23=1,MAX('3分入力'!$D$10,0)*D11,0)</x:f>
        <x:v>405</x:v>
      </x:c>
      <x:c r="L11" s="563" t="n">
        <x:f>MAX(MIN(J11*MAX(MIN('詳細設定'!$D$15,1),0),K11),0)</x:f>
        <x:v>190.40726552271465</x:v>
      </x:c>
      <x:c r="M11" s="563" t="n">
        <x:f>MAX(J11-L11,0)</x:f>
        <x:v>285.61089828407194</x:v>
      </x:c>
      <x:c r="N11" s="190" t="n">
        <x:f>L11*MAX('詳細設定'!$D$6,0)</x:f>
        <x:v>6664.254293295013</x:v>
      </x:c>
      <x:c r="O11" s="190" t="n">
        <x:f>M11*MAX('詳細設定'!$D$7,0)</x:f>
        <x:v>6854.6615588177265</x:v>
      </x:c>
      <x:c r="P11" s="190" t="n">
        <x:f>N11+O11</x:f>
        <x:v>13518.91585211274</x:v>
      </x:c>
      <x:c r="Q11" s="196" t="n">
        <x:f>J11-L11-M11</x:f>
        <x:v>0</x:v>
      </x:c>
    </x:row>
    <x:row r="12">
      <x:c r="A12" s="20" t="n">
        <x:v>8</x:v>
      </x:c>
      <x:c r="B12" s="20" t="str">
        <x:v>8月</x:v>
      </x:c>
      <x:c r="C12" s="20" t="n">
        <x:v>31</x:v>
      </x:c>
      <x:c r="D12" s="189" t="n">
        <x:f>MAX('_設定'!$C$13,0)</x:f>
        <x:v>0.1</x:v>
      </x:c>
      <x:c r="E12" s="192" t="n">
        <x:f>IF('3分入力'!$D$20="METPV-20等の入力",IF('_設定'!$J$22=1,MAX(IFERROR('METPV-20入力'!$B$15,0),0),0),MAX(IFERROR(VLOOKUP('3分入力'!$D$6,'_地点データ'!$A$5:$AE$51,14,FALSE),0),0))</x:f>
        <x:v>156.055263</x:v>
      </x:c>
      <x:c r="F12" s="192" t="n">
        <x:f>IF('3分入力'!$D$20="METPV-20等の入力",IF('_設定'!$J$22=1,IFERROR('METPV-20入力'!$C$15,0),0),IFERROR(VLOOKUP('3分入力'!$D$6,'_地点データ'!$A$5:$AE$51,26,FALSE),0))</x:f>
        <x:v>26.621053</x:v>
      </x:c>
      <x:c r="G12" s="192" t="n">
        <x:f>F12+'詳細設定'!$D$29</x:f>
        <x:v>48.121053</x:v>
      </x:c>
      <x:c r="H12" s="192" t="n">
        <x:f>MAX(1+'詳細設定'!$D$28*(G12-25)/100,0)</x:f>
        <x:v>0.8959552614999999</x:v>
      </x:c>
      <x:c r="I12" s="192" t="n">
        <x:f>MAX('詳細設定'!$D$31,0)*H12</x:f>
        <x:v>0.6775225603667977</x:v>
      </x:c>
      <x:c r="J12" s="563" t="n">
        <x:f>IF('_設定'!$J$23=1,MAX(I12*MAX('3分入力'!$D$8,0)*E12/'詳細設定'!$D$30*MAX('詳細設定'!$D$20,0),0),0)</x:f>
        <x:v>528.6548067323699</x:v>
      </x:c>
      <x:c r="K12" s="563" t="n">
        <x:f>IF('_設定'!$J$23=1,MAX('3分入力'!$D$10,0)*D12,0)</x:f>
        <x:v>450</x:v>
      </x:c>
      <x:c r="L12" s="563" t="n">
        <x:f>MAX(MIN(J12*MAX(MIN('詳細設定'!$D$15,1),0),K12),0)</x:f>
        <x:v>211.46192269294798</x:v>
      </x:c>
      <x:c r="M12" s="563" t="n">
        <x:f>MAX(J12-L12,0)</x:f>
        <x:v>317.192884039422</x:v>
      </x:c>
      <x:c r="N12" s="190" t="n">
        <x:f>L12*MAX('詳細設定'!$D$6,0)</x:f>
        <x:v>7401.1672942531795</x:v>
      </x:c>
      <x:c r="O12" s="190" t="n">
        <x:f>M12*MAX('詳細設定'!$D$7,0)</x:f>
        <x:v>7612.629216946128</x:v>
      </x:c>
      <x:c r="P12" s="190" t="n">
        <x:f>N12+O12</x:f>
        <x:v>15013.796511199307</x:v>
      </x:c>
      <x:c r="Q12" s="196" t="n">
        <x:f>J12-L12-M12</x:f>
        <x:v>0</x:v>
      </x:c>
    </x:row>
    <x:row r="13">
      <x:c r="A13" s="20" t="n">
        <x:v>9</x:v>
      </x:c>
      <x:c r="B13" s="20" t="str">
        <x:v>9月</x:v>
      </x:c>
      <x:c r="C13" s="20" t="n">
        <x:v>30</x:v>
      </x:c>
      <x:c r="D13" s="189" t="n">
        <x:f>MAX('_設定'!$C$14,0)</x:f>
        <x:v>0.08</x:v>
      </x:c>
      <x:c r="E13" s="192" t="n">
        <x:f>IF('3分入力'!$D$20="METPV-20等の入力",IF('_設定'!$J$22=1,MAX(IFERROR('METPV-20入力'!$B$16,0),0),0),MAX(IFERROR(VLOOKUP('3分入力'!$D$6,'_地点データ'!$A$5:$AE$51,15,FALSE),0),0))</x:f>
        <x:v>126.583684</x:v>
      </x:c>
      <x:c r="F13" s="192" t="n">
        <x:f>IF('3分入力'!$D$20="METPV-20等の入力",IF('_設定'!$J$22=1,IFERROR('METPV-20入力'!$C$16,0),0),IFERROR(VLOOKUP('3分入力'!$D$6,'_地点データ'!$A$5:$AE$51,27,FALSE),0))</x:f>
        <x:v>23.110526</x:v>
      </x:c>
      <x:c r="G13" s="192" t="n">
        <x:f>F13+'詳細設定'!$D$29</x:f>
        <x:v>44.610526</x:v>
      </x:c>
      <x:c r="H13" s="192" t="n">
        <x:f>MAX(1+'詳細設定'!$D$28*(G13-25)/100,0)</x:f>
        <x:v>0.911752633</x:v>
      </x:c>
      <x:c r="I13" s="192" t="n">
        <x:f>MAX('詳細設定'!$D$31,0)*H13</x:f>
        <x:v>0.6894685537056018</x:v>
      </x:c>
      <x:c r="J13" s="563" t="n">
        <x:f>IF('_設定'!$J$23=1,MAX(I13*MAX('3分入力'!$D$8,0)*E13/'詳細設定'!$D$30*MAX('詳細設定'!$D$20,0),0),0)</x:f>
        <x:v>436.37734765103465</x:v>
      </x:c>
      <x:c r="K13" s="563" t="n">
        <x:f>IF('_設定'!$J$23=1,MAX('3分入力'!$D$10,0)*D13,0)</x:f>
        <x:v>360</x:v>
      </x:c>
      <x:c r="L13" s="563" t="n">
        <x:f>MAX(MIN(J13*MAX(MIN('詳細設定'!$D$15,1),0),K13),0)</x:f>
        <x:v>174.55093906041387</x:v>
      </x:c>
      <x:c r="M13" s="563" t="n">
        <x:f>MAX(J13-L13,0)</x:f>
        <x:v>261.82640859062076</x:v>
      </x:c>
      <x:c r="N13" s="190" t="n">
        <x:f>L13*MAX('詳細設定'!$D$6,0)</x:f>
        <x:v>6109.282867114485</x:v>
      </x:c>
      <x:c r="O13" s="190" t="n">
        <x:f>M13*MAX('詳細設定'!$D$7,0)</x:f>
        <x:v>6283.833806174898</x:v>
      </x:c>
      <x:c r="P13" s="190" t="n">
        <x:f>N13+O13</x:f>
        <x:v>12393.116673289383</x:v>
      </x:c>
      <x:c r="Q13" s="196" t="n">
        <x:f>J13-L13-M13</x:f>
        <x:v>0</x:v>
      </x:c>
    </x:row>
    <x:row r="14">
      <x:c r="A14" s="20" t="n">
        <x:v>10</x:v>
      </x:c>
      <x:c r="B14" s="20" t="str">
        <x:v>10月</x:v>
      </x:c>
      <x:c r="C14" s="20" t="n">
        <x:v>31</x:v>
      </x:c>
      <x:c r="D14" s="189" t="n">
        <x:f>MAX('_設定'!$C$15,0)</x:f>
        <x:v>0.07</x:v>
      </x:c>
      <x:c r="E14" s="192" t="n">
        <x:f>IF('3分入力'!$D$20="METPV-20等の入力",IF('_設定'!$J$22=1,MAX(IFERROR('METPV-20入力'!$B$17,0),0),0),MAX(IFERROR(VLOOKUP('3分入力'!$D$6,'_地点データ'!$A$5:$AE$51,16,FALSE),0),0))</x:f>
        <x:v>115.443158</x:v>
      </x:c>
      <x:c r="F14" s="192" t="n">
        <x:f>IF('3分入力'!$D$20="METPV-20等の入力",IF('_設定'!$J$22=1,IFERROR('METPV-20入力'!$C$17,0),0),IFERROR(VLOOKUP('3分入力'!$D$6,'_地点データ'!$A$5:$AE$51,28,FALSE),0))</x:f>
        <x:v>17.584211</x:v>
      </x:c>
      <x:c r="G14" s="192" t="n">
        <x:f>F14+'詳細設定'!$D$29</x:f>
        <x:v>39.084210999999996</x:v>
      </x:c>
      <x:c r="H14" s="192" t="n">
        <x:f>MAX(1+'詳細設定'!$D$28*(G14-25)/100,0)</x:f>
        <x:v>0.9366210505</x:v>
      </x:c>
      <x:c r="I14" s="192" t="n">
        <x:f>MAX('詳細設定'!$D$31,0)*H14</x:f>
        <x:v>0.7082740840940971</x:v>
      </x:c>
      <x:c r="J14" s="563" t="n">
        <x:f>IF('_設定'!$J$23=1,MAX(I14*MAX('3分入力'!$D$8,0)*E14/'詳細設定'!$D$30*MAX('詳細設定'!$D$20,0),0),0)</x:f>
        <x:v>408.8269849869007</x:v>
      </x:c>
      <x:c r="K14" s="563" t="n">
        <x:f>IF('_設定'!$J$23=1,MAX('3分入力'!$D$10,0)*D14,0)</x:f>
        <x:v>315.00000000000006</x:v>
      </x:c>
      <x:c r="L14" s="563" t="n">
        <x:f>MAX(MIN(J14*MAX(MIN('詳細設定'!$D$15,1),0),K14),0)</x:f>
        <x:v>163.5307939947603</x:v>
      </x:c>
      <x:c r="M14" s="563" t="n">
        <x:f>MAX(J14-L14,0)</x:f>
        <x:v>245.2961909921404</x:v>
      </x:c>
      <x:c r="N14" s="190" t="n">
        <x:f>L14*MAX('詳細設定'!$D$6,0)</x:f>
        <x:v>5723.577789816611</x:v>
      </x:c>
      <x:c r="O14" s="190" t="n">
        <x:f>M14*MAX('詳細設定'!$D$7,0)</x:f>
        <x:v>5887.1085838113695</x:v>
      </x:c>
      <x:c r="P14" s="190" t="n">
        <x:f>N14+O14</x:f>
        <x:v>11610.686373627981</x:v>
      </x:c>
      <x:c r="Q14" s="196" t="n">
        <x:f>J14-L14-M14</x:f>
        <x:v>0</x:v>
      </x:c>
    </x:row>
    <x:row r="15">
      <x:c r="A15" s="20" t="n">
        <x:v>11</x:v>
      </x:c>
      <x:c r="B15" s="20" t="str">
        <x:v>11月</x:v>
      </x:c>
      <x:c r="C15" s="20" t="n">
        <x:v>30</x:v>
      </x:c>
      <x:c r="D15" s="189" t="n">
        <x:f>MAX('_設定'!$C$16,0)</x:f>
        <x:v>0.08</x:v>
      </x:c>
      <x:c r="E15" s="192" t="n">
        <x:f>IF('3分入力'!$D$20="METPV-20等の入力",IF('_設定'!$J$22=1,MAX(IFERROR('METPV-20入力'!$B$18,0),0),0),MAX(IFERROR(VLOOKUP('3分入力'!$D$6,'_地点データ'!$A$5:$AE$51,17,FALSE),0),0))</x:f>
        <x:v>109.697895</x:v>
      </x:c>
      <x:c r="F15" s="192" t="n">
        <x:f>IF('3分入力'!$D$20="METPV-20等の入力",IF('_設定'!$J$22=1,IFERROR('METPV-20入力'!$C$18,0),0),IFERROR(VLOOKUP('3分入力'!$D$6,'_地点データ'!$A$5:$AE$51,29,FALSE),0))</x:f>
        <x:v>12.242105</x:v>
      </x:c>
      <x:c r="G15" s="192" t="n">
        <x:f>F15+'詳細設定'!$D$29</x:f>
        <x:v>33.742105</x:v>
      </x:c>
      <x:c r="H15" s="192" t="n">
        <x:f>MAX(1+'詳細設定'!$D$28*(G15-25)/100,0)</x:f>
        <x:v>0.9606605275</x:v>
      </x:c>
      <x:c r="I15" s="192" t="n">
        <x:f>MAX('詳細設定'!$D$31,0)*H15</x:f>
        <x:v>0.7264527685740014</x:v>
      </x:c>
      <x:c r="J15" s="563" t="n">
        <x:f>IF('_設定'!$J$23=1,MAX(I15*MAX('3分入力'!$D$8,0)*E15/'詳細設定'!$D$30*MAX('詳細設定'!$D$20,0),0),0)</x:f>
        <x:v>398.45169764745054</x:v>
      </x:c>
      <x:c r="K15" s="563" t="n">
        <x:f>IF('_設定'!$J$23=1,MAX('3分入力'!$D$10,0)*D15,0)</x:f>
        <x:v>360</x:v>
      </x:c>
      <x:c r="L15" s="563" t="n">
        <x:f>MAX(MIN(J15*MAX(MIN('詳細設定'!$D$15,1),0),K15),0)</x:f>
        <x:v>159.38067905898023</x:v>
      </x:c>
      <x:c r="M15" s="563" t="n">
        <x:f>MAX(J15-L15,0)</x:f>
        <x:v>239.0710185884703</x:v>
      </x:c>
      <x:c r="N15" s="190" t="n">
        <x:f>L15*MAX('詳細設定'!$D$6,0)</x:f>
        <x:v>5578.323767064308</x:v>
      </x:c>
      <x:c r="O15" s="190" t="n">
        <x:f>M15*MAX('詳細設定'!$D$7,0)</x:f>
        <x:v>5737.704446123287</x:v>
      </x:c>
      <x:c r="P15" s="190" t="n">
        <x:f>N15+O15</x:f>
        <x:v>11316.028213187596</x:v>
      </x:c>
      <x:c r="Q15" s="196" t="n">
        <x:f>J15-L15-M15</x:f>
        <x:v>0</x:v>
      </x:c>
    </x:row>
    <x:row r="16">
      <x:c r="A16" s="20" t="n">
        <x:v>12</x:v>
      </x:c>
      <x:c r="B16" s="20" t="str">
        <x:v>12月</x:v>
      </x:c>
      <x:c r="C16" s="20" t="n">
        <x:v>31</x:v>
      </x:c>
      <x:c r="D16" s="189" t="n">
        <x:f>MAX('_設定'!$C$17,0)</x:f>
        <x:v>0.09</x:v>
      </x:c>
      <x:c r="E16" s="192" t="n">
        <x:f>IF('3分入力'!$D$20="METPV-20等の入力",IF('_設定'!$J$22=1,MAX(IFERROR('METPV-20入力'!$B$19,0),0),0),MAX(IFERROR(VLOOKUP('3分入力'!$D$6,'_地点データ'!$A$5:$AE$51,18,FALSE),0),0))</x:f>
        <x:v>119.266316</x:v>
      </x:c>
      <x:c r="F16" s="192" t="n">
        <x:f>IF('3分入力'!$D$20="METPV-20等の入力",IF('_設定'!$J$22=1,IFERROR('METPV-20入力'!$C$19,0),0),IFERROR(VLOOKUP('3分入力'!$D$6,'_地点データ'!$A$5:$AE$51,30,FALSE),0))</x:f>
        <x:v>6.936842</x:v>
      </x:c>
      <x:c r="G16" s="192" t="n">
        <x:f>F16+'詳細設定'!$D$29</x:f>
        <x:v>28.436842</x:v>
      </x:c>
      <x:c r="H16" s="192" t="n">
        <x:f>MAX(1+'詳細設定'!$D$28*(G16-25)/100,0)</x:f>
        <x:v>0.984534211</x:v>
      </x:c>
      <x:c r="I16" s="192" t="n">
        <x:f>MAX('詳細設定'!$D$31,0)*H16</x:f>
        <x:v>0.7445060797887005</x:v>
      </x:c>
      <x:c r="J16" s="563" t="n">
        <x:f>IF('_設定'!$J$23=1,MAX(I16*MAX('3分入力'!$D$8,0)*E16/'詳細設定'!$D$30*MAX('詳細設定'!$D$20,0),0),0)</x:f>
        <x:v>443.97248688000184</x:v>
      </x:c>
      <x:c r="K16" s="563" t="n">
        <x:f>IF('_設定'!$J$23=1,MAX('3分入力'!$D$10,0)*D16,0)</x:f>
        <x:v>405</x:v>
      </x:c>
      <x:c r="L16" s="563" t="n">
        <x:f>MAX(MIN(J16*MAX(MIN('詳細設定'!$D$15,1),0),K16),0)</x:f>
        <x:v>177.58899475200076</x:v>
      </x:c>
      <x:c r="M16" s="563" t="n">
        <x:f>MAX(J16-L16,0)</x:f>
        <x:v>266.3834921280011</x:v>
      </x:c>
      <x:c r="N16" s="190" t="n">
        <x:f>L16*MAX('詳細設定'!$D$6,0)</x:f>
        <x:v>6215.614816320027</x:v>
      </x:c>
      <x:c r="O16" s="190" t="n">
        <x:f>M16*MAX('詳細設定'!$D$7,0)</x:f>
        <x:v>6393.203811072026</x:v>
      </x:c>
      <x:c r="P16" s="190" t="n">
        <x:f>N16+O16</x:f>
        <x:v>12608.818627392053</x:v>
      </x:c>
      <x:c r="Q16" s="196" t="n">
        <x:f>J16-L16-M16</x:f>
        <x:v>0</x:v>
      </x:c>
    </x:row>
    <x:row r="17">
      <x:c r="A17" s="564" t="str">
        <x:v>年計</x:v>
      </x:c>
      <x:c r="B17" s="564"/>
      <x:c r="C17" s="564"/>
      <x:c r="D17" s="583" t="n">
        <x:f>SUM(D5:D16)</x:f>
        <x:v>1</x:v>
      </x:c>
      <x:c r="E17" s="565" t="n">
        <x:f>SUM(E5:E16)</x:f>
        <x:v>1612.647894</x:v>
      </x:c>
      <x:c r="F17" s="565"/>
      <x:c r="G17" s="565"/>
      <x:c r="H17" s="565"/>
      <x:c r="I17" s="565"/>
      <x:c r="J17" s="566" t="n">
        <x:f>SUM(J5:J16)</x:f>
        <x:v>5764.939650333731</x:v>
      </x:c>
      <x:c r="K17" s="566" t="n">
        <x:f>SUM(K5:K16)</x:f>
        <x:v>4500</x:v>
      </x:c>
      <x:c r="L17" s="566" t="n">
        <x:f>SUM(L5:L16)</x:f>
        <x:v>2305.9758601334925</x:v>
      </x:c>
      <x:c r="M17" s="566" t="n">
        <x:f>SUM(M5:M16)</x:f>
        <x:v>3458.9637902002387</x:v>
      </x:c>
      <x:c r="N17" s="567" t="n">
        <x:f>SUM(N5:N16)</x:f>
        <x:v>80709.15510467225</x:v>
      </x:c>
      <x:c r="O17" s="567" t="n">
        <x:f>SUM(O5:O16)</x:f>
        <x:v>83015.13096480572</x:v>
      </x:c>
      <x:c r="P17" s="567" t="n">
        <x:f>SUM(P5:P16)</x:f>
        <x:v>163724.28606947794</x:v>
      </x:c>
      <x:c r="Q17" s="584" t="n">
        <x:f>SUM(Q5:Q16)</x:f>
        <x:v>0</x:v>
      </x:c>
    </x:row>
    <x:row r="18">
      <x:c r="A18" s="527"/>
      <x:c r="B18" s="527"/>
      <x:c r="C18" s="527"/>
      <x:c r="D18" s="527"/>
      <x:c r="E18" s="527"/>
      <x:c r="F18" s="527"/>
      <x:c r="G18" s="527"/>
      <x:c r="H18" s="527"/>
      <x:c r="I18" s="527"/>
      <x:c r="J18" s="527"/>
      <x:c r="K18" s="527"/>
      <x:c r="L18" s="527"/>
      <x:c r="M18" s="527"/>
      <x:c r="N18" s="527"/>
      <x:c r="O18" s="527"/>
      <x:c r="P18" s="527"/>
      <x:c r="Q18" s="527"/>
    </x:row>
  </x:sheetData>
  <x:sheetProtection sheet="1" objects="0" scenarios="1" formatCells="1" formatColumns="1" formatRows="1" insertColumns="1" insertRows="1" insertHyperlinks="1" deleteColumns="1" deleteRows="1" selectLockedCells="0" selectUnlockedCells="0"/>
  <x:mergeCells>
    <x:mergeCell ref="A1:Q2"/>
    <x:mergeCell ref="A3:Q3"/>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8" hidden="0" customWidth="1"/>
    <x:col min="2" max="2" width="8"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x:c r="A1" s="526" t="str">
        <x:v>内部計算｜20年×12か月（240行）</x:v>
      </x:c>
      <x:c r="B1" s="526"/>
      <x:c r="C1" s="526"/>
      <x:c r="D1" s="526"/>
      <x:c r="E1" s="526"/>
      <x:c r="F1" s="526"/>
      <x:c r="G1" s="526"/>
      <x:c r="H1" s="526"/>
      <x:c r="I1" s="526"/>
      <x:c r="J1" s="526"/>
      <x:c r="K1" s="526"/>
      <x:c r="L1" s="526"/>
      <x:c r="M1" s="526"/>
      <x:c r="N1" s="526"/>
      <x:c r="O1" s="526"/>
    </x:row>
    <x:row r="2">
      <x:c r="A2" s="526"/>
      <x:c r="B2" s="526"/>
      <x:c r="C2" s="526"/>
      <x:c r="D2" s="526"/>
      <x:c r="E2" s="526"/>
      <x:c r="F2" s="526"/>
      <x:c r="G2" s="526"/>
      <x:c r="H2" s="526"/>
      <x:c r="I2" s="526"/>
      <x:c r="J2" s="526"/>
      <x:c r="K2" s="526"/>
      <x:c r="L2" s="526"/>
      <x:c r="M2" s="526"/>
      <x:c r="N2" s="526"/>
      <x:c r="O2" s="526"/>
    </x:row>
    <x:row r="3">
      <x:c r="A3" s="8" t="str">
        <x:v>年ごと・月ごとに発電、自家消費、売電を再計算。年次表はこの240行を集計します。</x:v>
      </x:c>
      <x:c r="B3" s="8"/>
      <x:c r="C3" s="8"/>
      <x:c r="D3" s="8"/>
      <x:c r="E3" s="8"/>
      <x:c r="F3" s="8"/>
      <x:c r="G3" s="8"/>
      <x:c r="H3" s="8"/>
      <x:c r="I3" s="8"/>
      <x:c r="J3" s="8"/>
      <x:c r="K3" s="8"/>
      <x:c r="L3" s="8"/>
      <x:c r="M3" s="8"/>
      <x:c r="N3" s="8"/>
      <x:c r="O3" s="8"/>
    </x:row>
    <x:row r="4">
      <x:c r="A4" s="13" t="str">
        <x:v>年</x:v>
      </x:c>
      <x:c r="B4" s="13" t="str">
        <x:v>月</x:v>
      </x:c>
      <x:c r="C4" s="13" t="str">
        <x:v>初年度発電</x:v>
      </x:c>
      <x:c r="D4" s="13" t="str">
        <x:v>月需要</x:v>
      </x:c>
      <x:c r="E4" s="13" t="str">
        <x:v>劣化係数</x:v>
      </x:c>
      <x:c r="F4" s="13" t="str">
        <x:v>発電</x:v>
      </x:c>
      <x:c r="G4" s="13" t="str">
        <x:v>同時消費上限率</x:v>
      </x:c>
      <x:c r="H4" s="13" t="str">
        <x:v>自家消費</x:v>
      </x:c>
      <x:c r="I4" s="13" t="str">
        <x:v>売電</x:v>
      </x:c>
      <x:c r="J4" s="13" t="str">
        <x:v>買電単価</x:v>
      </x:c>
      <x:c r="K4" s="13" t="str">
        <x:v>売電単価</x:v>
      </x:c>
      <x:c r="L4" s="13" t="str">
        <x:v>削減</x:v>
      </x:c>
      <x:c r="M4" s="13" t="str">
        <x:v>売電収入</x:v>
      </x:c>
      <x:c r="N4" s="13" t="str">
        <x:v>便益</x:v>
      </x:c>
      <x:c r="O4" s="13" t="str">
        <x:v>収支残差</x:v>
      </x:c>
    </x:row>
    <x:row r="5">
      <x:c r="A5" s="20" t="n">
        <x:v>1</x:v>
      </x:c>
      <x:c r="B5" s="20" t="n">
        <x:v>1</x:v>
      </x:c>
      <x:c r="C5" s="563" t="n">
        <x:f>'_計算月次'!$J$5</x:f>
        <x:v>502.4147595742038</x:v>
      </x:c>
      <x:c r="D5" s="563" t="n">
        <x:f>'_計算月次'!$K$5</x:f>
        <x:v>450</x:v>
      </x:c>
      <x:c r="E5" s="585" t="n">
        <x:f>(1-MAX(MIN('詳細設定'!$D$16,0.999999),0))^(A5-1)</x:f>
        <x:v>1</x:v>
      </x:c>
      <x:c r="F5" s="563" t="n">
        <x:f>MAX(C5*E5,0)</x:f>
        <x:v>502.4147595742038</x:v>
      </x:c>
      <x:c r="G5" s="563" t="n">
        <x:f>MAX(MIN('詳細設定'!$D$15,1),0)</x:f>
        <x:v>0.4</x:v>
      </x:c>
      <x:c r="H5" s="563" t="n">
        <x:f>MAX(MIN(F5*G5,D5),0)</x:f>
        <x:v>200.96590382968154</x:v>
      </x:c>
      <x:c r="I5" s="563" t="n">
        <x:f>MAX(F5-H5,0)</x:f>
        <x:v>301.44885574452223</x:v>
      </x:c>
      <x:c r="J5" s="185" t="n">
        <x:f>MAX('詳細設定'!$D$6,0)*(1+'詳細設定'!$D$21)^(A5-1)</x:f>
        <x:v>35</x:v>
      </x:c>
      <x:c r="K5" s="185" t="n">
        <x:f>IF(A5&lt;=MAX(MIN('詳細設定'!$D$8,20),0),MAX('詳細設定'!$D$7,0),IF(A5&lt;=MAX(MIN('詳細設定'!$D$10,20),0),MAX('詳細設定'!$D$9,0),MAX('詳細設定'!$D$11,0)))</x:f>
        <x:v>24</x:v>
      </x:c>
      <x:c r="L5" s="190" t="n">
        <x:f>H5*J5</x:f>
        <x:v>7033.806634038854</x:v>
      </x:c>
      <x:c r="M5" s="190" t="n">
        <x:f>I5*K5</x:f>
        <x:v>7234.772537868534</x:v>
      </x:c>
      <x:c r="N5" s="190" t="n">
        <x:f>L5+M5</x:f>
        <x:v>14268.579171907388</x:v>
      </x:c>
      <x:c r="O5" s="196" t="n">
        <x:f>F5-H5-I5</x:f>
        <x:v>0</x:v>
      </x:c>
    </x:row>
    <x:row r="6">
      <x:c r="A6" s="20" t="n">
        <x:v>1</x:v>
      </x:c>
      <x:c r="B6" s="20" t="n">
        <x:v>2</x:v>
      </x:c>
      <x:c r="C6" s="563" t="n">
        <x:f>'_計算月次'!$J$6</x:f>
        <x:v>472.4508339500229</x:v>
      </x:c>
      <x:c r="D6" s="563" t="n">
        <x:f>'_計算月次'!$K$6</x:f>
        <x:v>405</x:v>
      </x:c>
      <x:c r="E6" s="585" t="n">
        <x:f>(1-MAX(MIN('詳細設定'!$D$16,0.999999),0))^(A6-1)</x:f>
        <x:v>1</x:v>
      </x:c>
      <x:c r="F6" s="563" t="n">
        <x:f>MAX(C6*E6,0)</x:f>
        <x:v>472.4508339500229</x:v>
      </x:c>
      <x:c r="G6" s="563" t="n">
        <x:f>MAX(MIN('詳細設定'!$D$15,1),0)</x:f>
        <x:v>0.4</x:v>
      </x:c>
      <x:c r="H6" s="563" t="n">
        <x:f>MAX(MIN(F6*G6,D6),0)</x:f>
        <x:v>188.9803335800092</x:v>
      </x:c>
      <x:c r="I6" s="563" t="n">
        <x:f>MAX(F6-H6,0)</x:f>
        <x:v>283.4705003700137</x:v>
      </x:c>
      <x:c r="J6" s="185" t="n">
        <x:f>MAX('詳細設定'!$D$6,0)*(1+'詳細設定'!$D$21)^(A6-1)</x:f>
        <x:v>35</x:v>
      </x:c>
      <x:c r="K6" s="185" t="n">
        <x:f>IF(A6&lt;=MAX(MIN('詳細設定'!$D$8,20),0),MAX('詳細設定'!$D$7,0),IF(A6&lt;=MAX(MIN('詳細設定'!$D$10,20),0),MAX('詳細設定'!$D$9,0),MAX('詳細設定'!$D$11,0)))</x:f>
        <x:v>24</x:v>
      </x:c>
      <x:c r="L6" s="190" t="n">
        <x:f>H6*J6</x:f>
        <x:v>6614.311675300321</x:v>
      </x:c>
      <x:c r="M6" s="190" t="n">
        <x:f>I6*K6</x:f>
        <x:v>6803.292008880329</x:v>
      </x:c>
      <x:c r="N6" s="190" t="n">
        <x:f>L6+M6</x:f>
        <x:v>13417.60368418065</x:v>
      </x:c>
      <x:c r="O6" s="196" t="n">
        <x:f>F6-H6-I6</x:f>
        <x:v>0</x:v>
      </x:c>
    </x:row>
    <x:row r="7">
      <x:c r="A7" s="20" t="n">
        <x:v>1</x:v>
      </x:c>
      <x:c r="B7" s="20" t="n">
        <x:v>3</x:v>
      </x:c>
      <x:c r="C7" s="563" t="n">
        <x:f>'_計算月次'!$J$7</x:f>
        <x:v>548.3418864753118</x:v>
      </x:c>
      <x:c r="D7" s="563" t="n">
        <x:f>'_計算月次'!$K$7</x:f>
        <x:v>360</x:v>
      </x:c>
      <x:c r="E7" s="585" t="n">
        <x:f>(1-MAX(MIN('詳細設定'!$D$16,0.999999),0))^(A7-1)</x:f>
        <x:v>1</x:v>
      </x:c>
      <x:c r="F7" s="563" t="n">
        <x:f>MAX(C7*E7,0)</x:f>
        <x:v>548.3418864753118</x:v>
      </x:c>
      <x:c r="G7" s="563" t="n">
        <x:f>MAX(MIN('詳細設定'!$D$15,1),0)</x:f>
        <x:v>0.4</x:v>
      </x:c>
      <x:c r="H7" s="563" t="n">
        <x:f>MAX(MIN(F7*G7,D7),0)</x:f>
        <x:v>219.3367545901247</x:v>
      </x:c>
      <x:c r="I7" s="563" t="n">
        <x:f>MAX(F7-H7,0)</x:f>
        <x:v>329.00513188518704</x:v>
      </x:c>
      <x:c r="J7" s="185" t="n">
        <x:f>MAX('詳細設定'!$D$6,0)*(1+'詳細設定'!$D$21)^(A7-1)</x:f>
        <x:v>35</x:v>
      </x:c>
      <x:c r="K7" s="185" t="n">
        <x:f>IF(A7&lt;=MAX(MIN('詳細設定'!$D$8,20),0),MAX('詳細設定'!$D$7,0),IF(A7&lt;=MAX(MIN('詳細設定'!$D$10,20),0),MAX('詳細設定'!$D$9,0),MAX('詳細設定'!$D$11,0)))</x:f>
        <x:v>24</x:v>
      </x:c>
      <x:c r="L7" s="190" t="n">
        <x:f>H7*J7</x:f>
        <x:v>7676.786410654365</x:v>
      </x:c>
      <x:c r="M7" s="190" t="n">
        <x:f>I7*K7</x:f>
        <x:v>7896.123165244489</x:v>
      </x:c>
      <x:c r="N7" s="190" t="n">
        <x:f>L7+M7</x:f>
        <x:v>15572.909575898855</x:v>
      </x:c>
      <x:c r="O7" s="196" t="n">
        <x:f>F7-H7-I7</x:f>
        <x:v>0</x:v>
      </x:c>
    </x:row>
    <x:row r="8">
      <x:c r="A8" s="20" t="n">
        <x:v>1</x:v>
      </x:c>
      <x:c r="B8" s="20" t="n">
        <x:v>4</x:v>
      </x:c>
      <x:c r="C8" s="563" t="n">
        <x:f>'_計算月次'!$J$8</x:f>
        <x:v>548.3944393749554</x:v>
      </x:c>
      <x:c r="D8" s="563" t="n">
        <x:f>'_計算月次'!$K$8</x:f>
        <x:v>315.00000000000006</x:v>
      </x:c>
      <x:c r="E8" s="585" t="n">
        <x:f>(1-MAX(MIN('詳細設定'!$D$16,0.999999),0))^(A8-1)</x:f>
        <x:v>1</x:v>
      </x:c>
      <x:c r="F8" s="563" t="n">
        <x:f>MAX(C8*E8,0)</x:f>
        <x:v>548.3944393749554</x:v>
      </x:c>
      <x:c r="G8" s="563" t="n">
        <x:f>MAX(MIN('詳細設定'!$D$15,1),0)</x:f>
        <x:v>0.4</x:v>
      </x:c>
      <x:c r="H8" s="563" t="n">
        <x:f>MAX(MIN(F8*G8,D8),0)</x:f>
        <x:v>219.35777574998215</x:v>
      </x:c>
      <x:c r="I8" s="563" t="n">
        <x:f>MAX(F8-H8,0)</x:f>
        <x:v>329.03666362497324</x:v>
      </x:c>
      <x:c r="J8" s="185" t="n">
        <x:f>MAX('詳細設定'!$D$6,0)*(1+'詳細設定'!$D$21)^(A8-1)</x:f>
        <x:v>35</x:v>
      </x:c>
      <x:c r="K8" s="185" t="n">
        <x:f>IF(A8&lt;=MAX(MIN('詳細設定'!$D$8,20),0),MAX('詳細設定'!$D$7,0),IF(A8&lt;=MAX(MIN('詳細設定'!$D$10,20),0),MAX('詳細設定'!$D$9,0),MAX('詳細設定'!$D$11,0)))</x:f>
        <x:v>24</x:v>
      </x:c>
      <x:c r="L8" s="190" t="n">
        <x:f>H8*J8</x:f>
        <x:v>7677.522151249375</x:v>
      </x:c>
      <x:c r="M8" s="190" t="n">
        <x:f>I8*K8</x:f>
        <x:v>7896.879926999358</x:v>
      </x:c>
      <x:c r="N8" s="190" t="n">
        <x:f>L8+M8</x:f>
        <x:v>15574.402078248733</x:v>
      </x:c>
      <x:c r="O8" s="196" t="n">
        <x:f>F8-H8-I8</x:f>
        <x:v>0</x:v>
      </x:c>
    </x:row>
    <x:row r="9">
      <x:c r="A9" s="20" t="n">
        <x:v>1</x:v>
      </x:c>
      <x:c r="B9" s="20" t="n">
        <x:v>5</x:v>
      </x:c>
      <x:c r="C9" s="563" t="n">
        <x:f>'_計算月次'!$J$9</x:f>
        <x:v>552.2367574934775</x:v>
      </x:c>
      <x:c r="D9" s="563" t="n">
        <x:f>'_計算月次'!$K$9</x:f>
        <x:v>315.00000000000006</x:v>
      </x:c>
      <x:c r="E9" s="585" t="n">
        <x:f>(1-MAX(MIN('詳細設定'!$D$16,0.999999),0))^(A9-1)</x:f>
        <x:v>1</x:v>
      </x:c>
      <x:c r="F9" s="563" t="n">
        <x:f>MAX(C9*E9,0)</x:f>
        <x:v>552.2367574934775</x:v>
      </x:c>
      <x:c r="G9" s="563" t="n">
        <x:f>MAX(MIN('詳細設定'!$D$15,1),0)</x:f>
        <x:v>0.4</x:v>
      </x:c>
      <x:c r="H9" s="563" t="n">
        <x:f>MAX(MIN(F9*G9,D9),0)</x:f>
        <x:v>220.89470299739102</x:v>
      </x:c>
      <x:c r="I9" s="563" t="n">
        <x:f>MAX(F9-H9,0)</x:f>
        <x:v>331.34205449608646</x:v>
      </x:c>
      <x:c r="J9" s="185" t="n">
        <x:f>MAX('詳細設定'!$D$6,0)*(1+'詳細設定'!$D$21)^(A9-1)</x:f>
        <x:v>35</x:v>
      </x:c>
      <x:c r="K9" s="185" t="n">
        <x:f>IF(A9&lt;=MAX(MIN('詳細設定'!$D$8,20),0),MAX('詳細設定'!$D$7,0),IF(A9&lt;=MAX(MIN('詳細設定'!$D$10,20),0),MAX('詳細設定'!$D$9,0),MAX('詳細設定'!$D$11,0)))</x:f>
        <x:v>24</x:v>
      </x:c>
      <x:c r="L9" s="190" t="n">
        <x:f>H9*J9</x:f>
        <x:v>7731.314604908685</x:v>
      </x:c>
      <x:c r="M9" s="190" t="n">
        <x:f>I9*K9</x:f>
        <x:v>7952.209307906075</x:v>
      </x:c>
      <x:c r="N9" s="190" t="n">
        <x:f>L9+M9</x:f>
        <x:v>15683.52391281476</x:v>
      </x:c>
      <x:c r="O9" s="196" t="n">
        <x:f>F9-H9-I9</x:f>
        <x:v>0</x:v>
      </x:c>
    </x:row>
    <x:row r="10">
      <x:c r="A10" s="20" t="n">
        <x:v>1</x:v>
      </x:c>
      <x:c r="B10" s="20" t="n">
        <x:v>6</x:v>
      </x:c>
      <x:c r="C10" s="563" t="n">
        <x:f>'_計算月次'!$J$10</x:f>
        <x:v>448.7994857612148</x:v>
      </x:c>
      <x:c r="D10" s="563" t="n">
        <x:f>'_計算月次'!$K$10</x:f>
        <x:v>360</x:v>
      </x:c>
      <x:c r="E10" s="585" t="n">
        <x:f>(1-MAX(MIN('詳細設定'!$D$16,0.999999),0))^(A10-1)</x:f>
        <x:v>1</x:v>
      </x:c>
      <x:c r="F10" s="563" t="n">
        <x:f>MAX(C10*E10,0)</x:f>
        <x:v>448.7994857612148</x:v>
      </x:c>
      <x:c r="G10" s="563" t="n">
        <x:f>MAX(MIN('詳細設定'!$D$15,1),0)</x:f>
        <x:v>0.4</x:v>
      </x:c>
      <x:c r="H10" s="563" t="n">
        <x:f>MAX(MIN(F10*G10,D10),0)</x:f>
        <x:v>179.5197943044859</x:v>
      </x:c>
      <x:c r="I10" s="563" t="n">
        <x:f>MAX(F10-H10,0)</x:f>
        <x:v>269.27969145672887</x:v>
      </x:c>
      <x:c r="J10" s="185" t="n">
        <x:f>MAX('詳細設定'!$D$6,0)*(1+'詳細設定'!$D$21)^(A10-1)</x:f>
        <x:v>35</x:v>
      </x:c>
      <x:c r="K10" s="185" t="n">
        <x:f>IF(A10&lt;=MAX(MIN('詳細設定'!$D$8,20),0),MAX('詳細設定'!$D$7,0),IF(A10&lt;=MAX(MIN('詳細設定'!$D$10,20),0),MAX('詳細設定'!$D$9,0),MAX('詳細設定'!$D$11,0)))</x:f>
        <x:v>24</x:v>
      </x:c>
      <x:c r="L10" s="190" t="n">
        <x:f>H10*J10</x:f>
        <x:v>6283.192800657007</x:v>
      </x:c>
      <x:c r="M10" s="190" t="n">
        <x:f>I10*K10</x:f>
        <x:v>6462.712594961493</x:v>
      </x:c>
      <x:c r="N10" s="190" t="n">
        <x:f>L10+M10</x:f>
        <x:v>12745.9053956185</x:v>
      </x:c>
      <x:c r="O10" s="196" t="n">
        <x:f>F10-H10-I10</x:f>
        <x:v>0</x:v>
      </x:c>
    </x:row>
    <x:row r="11">
      <x:c r="A11" s="20" t="n">
        <x:v>1</x:v>
      </x:c>
      <x:c r="B11" s="20" t="n">
        <x:v>7</x:v>
      </x:c>
      <x:c r="C11" s="563" t="n">
        <x:f>'_計算月次'!$J$11</x:f>
        <x:v>476.0181638067866</x:v>
      </x:c>
      <x:c r="D11" s="563" t="n">
        <x:f>'_計算月次'!$K$11</x:f>
        <x:v>405</x:v>
      </x:c>
      <x:c r="E11" s="585" t="n">
        <x:f>(1-MAX(MIN('詳細設定'!$D$16,0.999999),0))^(A11-1)</x:f>
        <x:v>1</x:v>
      </x:c>
      <x:c r="F11" s="563" t="n">
        <x:f>MAX(C11*E11,0)</x:f>
        <x:v>476.0181638067866</x:v>
      </x:c>
      <x:c r="G11" s="563" t="n">
        <x:f>MAX(MIN('詳細設定'!$D$15,1),0)</x:f>
        <x:v>0.4</x:v>
      </x:c>
      <x:c r="H11" s="563" t="n">
        <x:f>MAX(MIN(F11*G11,D11),0)</x:f>
        <x:v>190.40726552271465</x:v>
      </x:c>
      <x:c r="I11" s="563" t="n">
        <x:f>MAX(F11-H11,0)</x:f>
        <x:v>285.61089828407194</x:v>
      </x:c>
      <x:c r="J11" s="185" t="n">
        <x:f>MAX('詳細設定'!$D$6,0)*(1+'詳細設定'!$D$21)^(A11-1)</x:f>
        <x:v>35</x:v>
      </x:c>
      <x:c r="K11" s="185" t="n">
        <x:f>IF(A11&lt;=MAX(MIN('詳細設定'!$D$8,20),0),MAX('詳細設定'!$D$7,0),IF(A11&lt;=MAX(MIN('詳細設定'!$D$10,20),0),MAX('詳細設定'!$D$9,0),MAX('詳細設定'!$D$11,0)))</x:f>
        <x:v>24</x:v>
      </x:c>
      <x:c r="L11" s="190" t="n">
        <x:f>H11*J11</x:f>
        <x:v>6664.254293295013</x:v>
      </x:c>
      <x:c r="M11" s="190" t="n">
        <x:f>I11*K11</x:f>
        <x:v>6854.6615588177265</x:v>
      </x:c>
      <x:c r="N11" s="190" t="n">
        <x:f>L11+M11</x:f>
        <x:v>13518.91585211274</x:v>
      </x:c>
      <x:c r="O11" s="196" t="n">
        <x:f>F11-H11-I11</x:f>
        <x:v>0</x:v>
      </x:c>
    </x:row>
    <x:row r="12">
      <x:c r="A12" s="20" t="n">
        <x:v>1</x:v>
      </x:c>
      <x:c r="B12" s="20" t="n">
        <x:v>8</x:v>
      </x:c>
      <x:c r="C12" s="563" t="n">
        <x:f>'_計算月次'!$J$12</x:f>
        <x:v>528.6548067323699</x:v>
      </x:c>
      <x:c r="D12" s="563" t="n">
        <x:f>'_計算月次'!$K$12</x:f>
        <x:v>450</x:v>
      </x:c>
      <x:c r="E12" s="585" t="n">
        <x:f>(1-MAX(MIN('詳細設定'!$D$16,0.999999),0))^(A12-1)</x:f>
        <x:v>1</x:v>
      </x:c>
      <x:c r="F12" s="563" t="n">
        <x:f>MAX(C12*E12,0)</x:f>
        <x:v>528.6548067323699</x:v>
      </x:c>
      <x:c r="G12" s="563" t="n">
        <x:f>MAX(MIN('詳細設定'!$D$15,1),0)</x:f>
        <x:v>0.4</x:v>
      </x:c>
      <x:c r="H12" s="563" t="n">
        <x:f>MAX(MIN(F12*G12,D12),0)</x:f>
        <x:v>211.46192269294798</x:v>
      </x:c>
      <x:c r="I12" s="563" t="n">
        <x:f>MAX(F12-H12,0)</x:f>
        <x:v>317.192884039422</x:v>
      </x:c>
      <x:c r="J12" s="185" t="n">
        <x:f>MAX('詳細設定'!$D$6,0)*(1+'詳細設定'!$D$21)^(A12-1)</x:f>
        <x:v>35</x:v>
      </x:c>
      <x:c r="K12" s="185" t="n">
        <x:f>IF(A12&lt;=MAX(MIN('詳細設定'!$D$8,20),0),MAX('詳細設定'!$D$7,0),IF(A12&lt;=MAX(MIN('詳細設定'!$D$10,20),0),MAX('詳細設定'!$D$9,0),MAX('詳細設定'!$D$11,0)))</x:f>
        <x:v>24</x:v>
      </x:c>
      <x:c r="L12" s="190" t="n">
        <x:f>H12*J12</x:f>
        <x:v>7401.1672942531795</x:v>
      </x:c>
      <x:c r="M12" s="190" t="n">
        <x:f>I12*K12</x:f>
        <x:v>7612.629216946128</x:v>
      </x:c>
      <x:c r="N12" s="190" t="n">
        <x:f>L12+M12</x:f>
        <x:v>15013.796511199307</x:v>
      </x:c>
      <x:c r="O12" s="196" t="n">
        <x:f>F12-H12-I12</x:f>
        <x:v>0</x:v>
      </x:c>
    </x:row>
    <x:row r="13">
      <x:c r="A13" s="20" t="n">
        <x:v>1</x:v>
      </x:c>
      <x:c r="B13" s="20" t="n">
        <x:v>9</x:v>
      </x:c>
      <x:c r="C13" s="563" t="n">
        <x:f>'_計算月次'!$J$13</x:f>
        <x:v>436.37734765103465</x:v>
      </x:c>
      <x:c r="D13" s="563" t="n">
        <x:f>'_計算月次'!$K$13</x:f>
        <x:v>360</x:v>
      </x:c>
      <x:c r="E13" s="585" t="n">
        <x:f>(1-MAX(MIN('詳細設定'!$D$16,0.999999),0))^(A13-1)</x:f>
        <x:v>1</x:v>
      </x:c>
      <x:c r="F13" s="563" t="n">
        <x:f>MAX(C13*E13,0)</x:f>
        <x:v>436.37734765103465</x:v>
      </x:c>
      <x:c r="G13" s="563" t="n">
        <x:f>MAX(MIN('詳細設定'!$D$15,1),0)</x:f>
        <x:v>0.4</x:v>
      </x:c>
      <x:c r="H13" s="563" t="n">
        <x:f>MAX(MIN(F13*G13,D13),0)</x:f>
        <x:v>174.55093906041387</x:v>
      </x:c>
      <x:c r="I13" s="563" t="n">
        <x:f>MAX(F13-H13,0)</x:f>
        <x:v>261.82640859062076</x:v>
      </x:c>
      <x:c r="J13" s="185" t="n">
        <x:f>MAX('詳細設定'!$D$6,0)*(1+'詳細設定'!$D$21)^(A13-1)</x:f>
        <x:v>35</x:v>
      </x:c>
      <x:c r="K13" s="185" t="n">
        <x:f>IF(A13&lt;=MAX(MIN('詳細設定'!$D$8,20),0),MAX('詳細設定'!$D$7,0),IF(A13&lt;=MAX(MIN('詳細設定'!$D$10,20),0),MAX('詳細設定'!$D$9,0),MAX('詳細設定'!$D$11,0)))</x:f>
        <x:v>24</x:v>
      </x:c>
      <x:c r="L13" s="190" t="n">
        <x:f>H13*J13</x:f>
        <x:v>6109.282867114485</x:v>
      </x:c>
      <x:c r="M13" s="190" t="n">
        <x:f>I13*K13</x:f>
        <x:v>6283.833806174898</x:v>
      </x:c>
      <x:c r="N13" s="190" t="n">
        <x:f>L13+M13</x:f>
        <x:v>12393.116673289383</x:v>
      </x:c>
      <x:c r="O13" s="196" t="n">
        <x:f>F13-H13-I13</x:f>
        <x:v>0</x:v>
      </x:c>
    </x:row>
    <x:row r="14">
      <x:c r="A14" s="20" t="n">
        <x:v>1</x:v>
      </x:c>
      <x:c r="B14" s="20" t="n">
        <x:v>10</x:v>
      </x:c>
      <x:c r="C14" s="563" t="n">
        <x:f>'_計算月次'!$J$14</x:f>
        <x:v>408.8269849869007</x:v>
      </x:c>
      <x:c r="D14" s="563" t="n">
        <x:f>'_計算月次'!$K$14</x:f>
        <x:v>315.00000000000006</x:v>
      </x:c>
      <x:c r="E14" s="585" t="n">
        <x:f>(1-MAX(MIN('詳細設定'!$D$16,0.999999),0))^(A14-1)</x:f>
        <x:v>1</x:v>
      </x:c>
      <x:c r="F14" s="563" t="n">
        <x:f>MAX(C14*E14,0)</x:f>
        <x:v>408.8269849869007</x:v>
      </x:c>
      <x:c r="G14" s="563" t="n">
        <x:f>MAX(MIN('詳細設定'!$D$15,1),0)</x:f>
        <x:v>0.4</x:v>
      </x:c>
      <x:c r="H14" s="563" t="n">
        <x:f>MAX(MIN(F14*G14,D14),0)</x:f>
        <x:v>163.5307939947603</x:v>
      </x:c>
      <x:c r="I14" s="563" t="n">
        <x:f>MAX(F14-H14,0)</x:f>
        <x:v>245.2961909921404</x:v>
      </x:c>
      <x:c r="J14" s="185" t="n">
        <x:f>MAX('詳細設定'!$D$6,0)*(1+'詳細設定'!$D$21)^(A14-1)</x:f>
        <x:v>35</x:v>
      </x:c>
      <x:c r="K14" s="185" t="n">
        <x:f>IF(A14&lt;=MAX(MIN('詳細設定'!$D$8,20),0),MAX('詳細設定'!$D$7,0),IF(A14&lt;=MAX(MIN('詳細設定'!$D$10,20),0),MAX('詳細設定'!$D$9,0),MAX('詳細設定'!$D$11,0)))</x:f>
        <x:v>24</x:v>
      </x:c>
      <x:c r="L14" s="190" t="n">
        <x:f>H14*J14</x:f>
        <x:v>5723.577789816611</x:v>
      </x:c>
      <x:c r="M14" s="190" t="n">
        <x:f>I14*K14</x:f>
        <x:v>5887.1085838113695</x:v>
      </x:c>
      <x:c r="N14" s="190" t="n">
        <x:f>L14+M14</x:f>
        <x:v>11610.686373627981</x:v>
      </x:c>
      <x:c r="O14" s="196" t="n">
        <x:f>F14-H14-I14</x:f>
        <x:v>0</x:v>
      </x:c>
    </x:row>
    <x:row r="15">
      <x:c r="A15" s="20" t="n">
        <x:v>1</x:v>
      </x:c>
      <x:c r="B15" s="20" t="n">
        <x:v>11</x:v>
      </x:c>
      <x:c r="C15" s="563" t="n">
        <x:f>'_計算月次'!$J$15</x:f>
        <x:v>398.45169764745054</x:v>
      </x:c>
      <x:c r="D15" s="563" t="n">
        <x:f>'_計算月次'!$K$15</x:f>
        <x:v>360</x:v>
      </x:c>
      <x:c r="E15" s="585" t="n">
        <x:f>(1-MAX(MIN('詳細設定'!$D$16,0.999999),0))^(A15-1)</x:f>
        <x:v>1</x:v>
      </x:c>
      <x:c r="F15" s="563" t="n">
        <x:f>MAX(C15*E15,0)</x:f>
        <x:v>398.45169764745054</x:v>
      </x:c>
      <x:c r="G15" s="563" t="n">
        <x:f>MAX(MIN('詳細設定'!$D$15,1),0)</x:f>
        <x:v>0.4</x:v>
      </x:c>
      <x:c r="H15" s="563" t="n">
        <x:f>MAX(MIN(F15*G15,D15),0)</x:f>
        <x:v>159.38067905898023</x:v>
      </x:c>
      <x:c r="I15" s="563" t="n">
        <x:f>MAX(F15-H15,0)</x:f>
        <x:v>239.0710185884703</x:v>
      </x:c>
      <x:c r="J15" s="185" t="n">
        <x:f>MAX('詳細設定'!$D$6,0)*(1+'詳細設定'!$D$21)^(A15-1)</x:f>
        <x:v>35</x:v>
      </x:c>
      <x:c r="K15" s="185" t="n">
        <x:f>IF(A15&lt;=MAX(MIN('詳細設定'!$D$8,20),0),MAX('詳細設定'!$D$7,0),IF(A15&lt;=MAX(MIN('詳細設定'!$D$10,20),0),MAX('詳細設定'!$D$9,0),MAX('詳細設定'!$D$11,0)))</x:f>
        <x:v>24</x:v>
      </x:c>
      <x:c r="L15" s="190" t="n">
        <x:f>H15*J15</x:f>
        <x:v>5578.323767064308</x:v>
      </x:c>
      <x:c r="M15" s="190" t="n">
        <x:f>I15*K15</x:f>
        <x:v>5737.704446123287</x:v>
      </x:c>
      <x:c r="N15" s="190" t="n">
        <x:f>L15+M15</x:f>
        <x:v>11316.028213187596</x:v>
      </x:c>
      <x:c r="O15" s="196" t="n">
        <x:f>F15-H15-I15</x:f>
        <x:v>0</x:v>
      </x:c>
    </x:row>
    <x:row r="16">
      <x:c r="A16" s="20" t="n">
        <x:v>1</x:v>
      </x:c>
      <x:c r="B16" s="20" t="n">
        <x:v>12</x:v>
      </x:c>
      <x:c r="C16" s="563" t="n">
        <x:f>'_計算月次'!$J$16</x:f>
        <x:v>443.97248688000184</x:v>
      </x:c>
      <x:c r="D16" s="563" t="n">
        <x:f>'_計算月次'!$K$16</x:f>
        <x:v>405</x:v>
      </x:c>
      <x:c r="E16" s="585" t="n">
        <x:f>(1-MAX(MIN('詳細設定'!$D$16,0.999999),0))^(A16-1)</x:f>
        <x:v>1</x:v>
      </x:c>
      <x:c r="F16" s="563" t="n">
        <x:f>MAX(C16*E16,0)</x:f>
        <x:v>443.97248688000184</x:v>
      </x:c>
      <x:c r="G16" s="563" t="n">
        <x:f>MAX(MIN('詳細設定'!$D$15,1),0)</x:f>
        <x:v>0.4</x:v>
      </x:c>
      <x:c r="H16" s="563" t="n">
        <x:f>MAX(MIN(F16*G16,D16),0)</x:f>
        <x:v>177.58899475200076</x:v>
      </x:c>
      <x:c r="I16" s="563" t="n">
        <x:f>MAX(F16-H16,0)</x:f>
        <x:v>266.3834921280011</x:v>
      </x:c>
      <x:c r="J16" s="185" t="n">
        <x:f>MAX('詳細設定'!$D$6,0)*(1+'詳細設定'!$D$21)^(A16-1)</x:f>
        <x:v>35</x:v>
      </x:c>
      <x:c r="K16" s="185" t="n">
        <x:f>IF(A16&lt;=MAX(MIN('詳細設定'!$D$8,20),0),MAX('詳細設定'!$D$7,0),IF(A16&lt;=MAX(MIN('詳細設定'!$D$10,20),0),MAX('詳細設定'!$D$9,0),MAX('詳細設定'!$D$11,0)))</x:f>
        <x:v>24</x:v>
      </x:c>
      <x:c r="L16" s="190" t="n">
        <x:f>H16*J16</x:f>
        <x:v>6215.614816320027</x:v>
      </x:c>
      <x:c r="M16" s="190" t="n">
        <x:f>I16*K16</x:f>
        <x:v>6393.203811072026</x:v>
      </x:c>
      <x:c r="N16" s="190" t="n">
        <x:f>L16+M16</x:f>
        <x:v>12608.818627392053</x:v>
      </x:c>
      <x:c r="O16" s="196" t="n">
        <x:f>F16-H16-I16</x:f>
        <x:v>0</x:v>
      </x:c>
    </x:row>
    <x:row r="17">
      <x:c r="A17" s="20" t="n">
        <x:v>2</x:v>
      </x:c>
      <x:c r="B17" s="20" t="n">
        <x:v>1</x:v>
      </x:c>
      <x:c r="C17" s="563" t="n">
        <x:f>'_計算月次'!$J$5</x:f>
        <x:v>502.4147595742038</x:v>
      </x:c>
      <x:c r="D17" s="563" t="n">
        <x:f>'_計算月次'!$K$5</x:f>
        <x:v>450</x:v>
      </x:c>
      <x:c r="E17" s="585" t="n">
        <x:f>(1-MAX(MIN('詳細設定'!$D$16,0.999999),0))^(A17-1)</x:f>
        <x:v>1</x:v>
      </x:c>
      <x:c r="F17" s="563" t="n">
        <x:f>MAX(C17*E17,0)</x:f>
        <x:v>502.4147595742038</x:v>
      </x:c>
      <x:c r="G17" s="563" t="n">
        <x:f>MAX(MIN('詳細設定'!$D$15,1),0)</x:f>
        <x:v>0.4</x:v>
      </x:c>
      <x:c r="H17" s="563" t="n">
        <x:f>MAX(MIN(F17*G17,D17),0)</x:f>
        <x:v>200.96590382968154</x:v>
      </x:c>
      <x:c r="I17" s="563" t="n">
        <x:f>MAX(F17-H17,0)</x:f>
        <x:v>301.44885574452223</x:v>
      </x:c>
      <x:c r="J17" s="185" t="n">
        <x:f>MAX('詳細設定'!$D$6,0)*(1+'詳細設定'!$D$21)^(A17-1)</x:f>
        <x:v>35.35</x:v>
      </x:c>
      <x:c r="K17" s="185" t="n">
        <x:f>IF(A17&lt;=MAX(MIN('詳細設定'!$D$8,20),0),MAX('詳細設定'!$D$7,0),IF(A17&lt;=MAX(MIN('詳細設定'!$D$10,20),0),MAX('詳細設定'!$D$9,0),MAX('詳細設定'!$D$11,0)))</x:f>
        <x:v>24</x:v>
      </x:c>
      <x:c r="L17" s="190" t="n">
        <x:f>H17*J17</x:f>
        <x:v>7104.144700379243</x:v>
      </x:c>
      <x:c r="M17" s="190" t="n">
        <x:f>I17*K17</x:f>
        <x:v>7234.772537868534</x:v>
      </x:c>
      <x:c r="N17" s="190" t="n">
        <x:f>L17+M17</x:f>
        <x:v>14338.917238247777</x:v>
      </x:c>
      <x:c r="O17" s="196" t="n">
        <x:f>F17-H17-I17</x:f>
        <x:v>0</x:v>
      </x:c>
    </x:row>
    <x:row r="18">
      <x:c r="A18" s="20" t="n">
        <x:v>2</x:v>
      </x:c>
      <x:c r="B18" s="20" t="n">
        <x:v>2</x:v>
      </x:c>
      <x:c r="C18" s="563" t="n">
        <x:f>'_計算月次'!$J$6</x:f>
        <x:v>472.4508339500229</x:v>
      </x:c>
      <x:c r="D18" s="563" t="n">
        <x:f>'_計算月次'!$K$6</x:f>
        <x:v>405</x:v>
      </x:c>
      <x:c r="E18" s="585" t="n">
        <x:f>(1-MAX(MIN('詳細設定'!$D$16,0.999999),0))^(A18-1)</x:f>
        <x:v>1</x:v>
      </x:c>
      <x:c r="F18" s="563" t="n">
        <x:f>MAX(C18*E18,0)</x:f>
        <x:v>472.4508339500229</x:v>
      </x:c>
      <x:c r="G18" s="563" t="n">
        <x:f>MAX(MIN('詳細設定'!$D$15,1),0)</x:f>
        <x:v>0.4</x:v>
      </x:c>
      <x:c r="H18" s="563" t="n">
        <x:f>MAX(MIN(F18*G18,D18),0)</x:f>
        <x:v>188.9803335800092</x:v>
      </x:c>
      <x:c r="I18" s="563" t="n">
        <x:f>MAX(F18-H18,0)</x:f>
        <x:v>283.4705003700137</x:v>
      </x:c>
      <x:c r="J18" s="185" t="n">
        <x:f>MAX('詳細設定'!$D$6,0)*(1+'詳細設定'!$D$21)^(A18-1)</x:f>
        <x:v>35.35</x:v>
      </x:c>
      <x:c r="K18" s="185" t="n">
        <x:f>IF(A18&lt;=MAX(MIN('詳細設定'!$D$8,20),0),MAX('詳細設定'!$D$7,0),IF(A18&lt;=MAX(MIN('詳細設定'!$D$10,20),0),MAX('詳細設定'!$D$9,0),MAX('詳細設定'!$D$11,0)))</x:f>
        <x:v>24</x:v>
      </x:c>
      <x:c r="L18" s="190" t="n">
        <x:f>H18*J18</x:f>
        <x:v>6680.454792053325</x:v>
      </x:c>
      <x:c r="M18" s="190" t="n">
        <x:f>I18*K18</x:f>
        <x:v>6803.292008880329</x:v>
      </x:c>
      <x:c r="N18" s="190" t="n">
        <x:f>L18+M18</x:f>
        <x:v>13483.746800933655</x:v>
      </x:c>
      <x:c r="O18" s="196" t="n">
        <x:f>F18-H18-I18</x:f>
        <x:v>0</x:v>
      </x:c>
    </x:row>
    <x:row r="19">
      <x:c r="A19" s="20" t="n">
        <x:v>2</x:v>
      </x:c>
      <x:c r="B19" s="20" t="n">
        <x:v>3</x:v>
      </x:c>
      <x:c r="C19" s="563" t="n">
        <x:f>'_計算月次'!$J$7</x:f>
        <x:v>548.3418864753118</x:v>
      </x:c>
      <x:c r="D19" s="563" t="n">
        <x:f>'_計算月次'!$K$7</x:f>
        <x:v>360</x:v>
      </x:c>
      <x:c r="E19" s="585" t="n">
        <x:f>(1-MAX(MIN('詳細設定'!$D$16,0.999999),0))^(A19-1)</x:f>
        <x:v>1</x:v>
      </x:c>
      <x:c r="F19" s="563" t="n">
        <x:f>MAX(C19*E19,0)</x:f>
        <x:v>548.3418864753118</x:v>
      </x:c>
      <x:c r="G19" s="563" t="n">
        <x:f>MAX(MIN('詳細設定'!$D$15,1),0)</x:f>
        <x:v>0.4</x:v>
      </x:c>
      <x:c r="H19" s="563" t="n">
        <x:f>MAX(MIN(F19*G19,D19),0)</x:f>
        <x:v>219.3367545901247</x:v>
      </x:c>
      <x:c r="I19" s="563" t="n">
        <x:f>MAX(F19-H19,0)</x:f>
        <x:v>329.00513188518704</x:v>
      </x:c>
      <x:c r="J19" s="185" t="n">
        <x:f>MAX('詳細設定'!$D$6,0)*(1+'詳細設定'!$D$21)^(A19-1)</x:f>
        <x:v>35.35</x:v>
      </x:c>
      <x:c r="K19" s="185" t="n">
        <x:f>IF(A19&lt;=MAX(MIN('詳細設定'!$D$8,20),0),MAX('詳細設定'!$D$7,0),IF(A19&lt;=MAX(MIN('詳細設定'!$D$10,20),0),MAX('詳細設定'!$D$9,0),MAX('詳細設定'!$D$11,0)))</x:f>
        <x:v>24</x:v>
      </x:c>
      <x:c r="L19" s="190" t="n">
        <x:f>H19*J19</x:f>
        <x:v>7753.554274760909</x:v>
      </x:c>
      <x:c r="M19" s="190" t="n">
        <x:f>I19*K19</x:f>
        <x:v>7896.123165244489</x:v>
      </x:c>
      <x:c r="N19" s="190" t="n">
        <x:f>L19+M19</x:f>
        <x:v>15649.677440005398</x:v>
      </x:c>
      <x:c r="O19" s="196" t="n">
        <x:f>F19-H19-I19</x:f>
        <x:v>0</x:v>
      </x:c>
    </x:row>
    <x:row r="20">
      <x:c r="A20" s="20" t="n">
        <x:v>2</x:v>
      </x:c>
      <x:c r="B20" s="20" t="n">
        <x:v>4</x:v>
      </x:c>
      <x:c r="C20" s="563" t="n">
        <x:f>'_計算月次'!$J$8</x:f>
        <x:v>548.3944393749554</x:v>
      </x:c>
      <x:c r="D20" s="563" t="n">
        <x:f>'_計算月次'!$K$8</x:f>
        <x:v>315.00000000000006</x:v>
      </x:c>
      <x:c r="E20" s="585" t="n">
        <x:f>(1-MAX(MIN('詳細設定'!$D$16,0.999999),0))^(A20-1)</x:f>
        <x:v>1</x:v>
      </x:c>
      <x:c r="F20" s="563" t="n">
        <x:f>MAX(C20*E20,0)</x:f>
        <x:v>548.3944393749554</x:v>
      </x:c>
      <x:c r="G20" s="563" t="n">
        <x:f>MAX(MIN('詳細設定'!$D$15,1),0)</x:f>
        <x:v>0.4</x:v>
      </x:c>
      <x:c r="H20" s="563" t="n">
        <x:f>MAX(MIN(F20*G20,D20),0)</x:f>
        <x:v>219.35777574998215</x:v>
      </x:c>
      <x:c r="I20" s="563" t="n">
        <x:f>MAX(F20-H20,0)</x:f>
        <x:v>329.03666362497324</x:v>
      </x:c>
      <x:c r="J20" s="185" t="n">
        <x:f>MAX('詳細設定'!$D$6,0)*(1+'詳細設定'!$D$21)^(A20-1)</x:f>
        <x:v>35.35</x:v>
      </x:c>
      <x:c r="K20" s="185" t="n">
        <x:f>IF(A20&lt;=MAX(MIN('詳細設定'!$D$8,20),0),MAX('詳細設定'!$D$7,0),IF(A20&lt;=MAX(MIN('詳細設定'!$D$10,20),0),MAX('詳細設定'!$D$9,0),MAX('詳細設定'!$D$11,0)))</x:f>
        <x:v>24</x:v>
      </x:c>
      <x:c r="L20" s="190" t="n">
        <x:f>H20*J20</x:f>
        <x:v>7754.297372761869</x:v>
      </x:c>
      <x:c r="M20" s="190" t="n">
        <x:f>I20*K20</x:f>
        <x:v>7896.879926999358</x:v>
      </x:c>
      <x:c r="N20" s="190" t="n">
        <x:f>L20+M20</x:f>
        <x:v>15651.177299761228</x:v>
      </x:c>
      <x:c r="O20" s="196" t="n">
        <x:f>F20-H20-I20</x:f>
        <x:v>0</x:v>
      </x:c>
    </x:row>
    <x:row r="21">
      <x:c r="A21" s="20" t="n">
        <x:v>2</x:v>
      </x:c>
      <x:c r="B21" s="20" t="n">
        <x:v>5</x:v>
      </x:c>
      <x:c r="C21" s="563" t="n">
        <x:f>'_計算月次'!$J$9</x:f>
        <x:v>552.2367574934775</x:v>
      </x:c>
      <x:c r="D21" s="563" t="n">
        <x:f>'_計算月次'!$K$9</x:f>
        <x:v>315.00000000000006</x:v>
      </x:c>
      <x:c r="E21" s="585" t="n">
        <x:f>(1-MAX(MIN('詳細設定'!$D$16,0.999999),0))^(A21-1)</x:f>
        <x:v>1</x:v>
      </x:c>
      <x:c r="F21" s="563" t="n">
        <x:f>MAX(C21*E21,0)</x:f>
        <x:v>552.2367574934775</x:v>
      </x:c>
      <x:c r="G21" s="563" t="n">
        <x:f>MAX(MIN('詳細設定'!$D$15,1),0)</x:f>
        <x:v>0.4</x:v>
      </x:c>
      <x:c r="H21" s="563" t="n">
        <x:f>MAX(MIN(F21*G21,D21),0)</x:f>
        <x:v>220.89470299739102</x:v>
      </x:c>
      <x:c r="I21" s="563" t="n">
        <x:f>MAX(F21-H21,0)</x:f>
        <x:v>331.34205449608646</x:v>
      </x:c>
      <x:c r="J21" s="185" t="n">
        <x:f>MAX('詳細設定'!$D$6,0)*(1+'詳細設定'!$D$21)^(A21-1)</x:f>
        <x:v>35.35</x:v>
      </x:c>
      <x:c r="K21" s="185" t="n">
        <x:f>IF(A21&lt;=MAX(MIN('詳細設定'!$D$8,20),0),MAX('詳細設定'!$D$7,0),IF(A21&lt;=MAX(MIN('詳細設定'!$D$10,20),0),MAX('詳細設定'!$D$9,0),MAX('詳細設定'!$D$11,0)))</x:f>
        <x:v>24</x:v>
      </x:c>
      <x:c r="L21" s="190" t="n">
        <x:f>H21*J21</x:f>
        <x:v>7808.627750957773</x:v>
      </x:c>
      <x:c r="M21" s="190" t="n">
        <x:f>I21*K21</x:f>
        <x:v>7952.209307906075</x:v>
      </x:c>
      <x:c r="N21" s="190" t="n">
        <x:f>L21+M21</x:f>
        <x:v>15760.837058863848</x:v>
      </x:c>
      <x:c r="O21" s="196" t="n">
        <x:f>F21-H21-I21</x:f>
        <x:v>0</x:v>
      </x:c>
    </x:row>
    <x:row r="22">
      <x:c r="A22" s="20" t="n">
        <x:v>2</x:v>
      </x:c>
      <x:c r="B22" s="20" t="n">
        <x:v>6</x:v>
      </x:c>
      <x:c r="C22" s="563" t="n">
        <x:f>'_計算月次'!$J$10</x:f>
        <x:v>448.7994857612148</x:v>
      </x:c>
      <x:c r="D22" s="563" t="n">
        <x:f>'_計算月次'!$K$10</x:f>
        <x:v>360</x:v>
      </x:c>
      <x:c r="E22" s="585" t="n">
        <x:f>(1-MAX(MIN('詳細設定'!$D$16,0.999999),0))^(A22-1)</x:f>
        <x:v>1</x:v>
      </x:c>
      <x:c r="F22" s="563" t="n">
        <x:f>MAX(C22*E22,0)</x:f>
        <x:v>448.7994857612148</x:v>
      </x:c>
      <x:c r="G22" s="563" t="n">
        <x:f>MAX(MIN('詳細設定'!$D$15,1),0)</x:f>
        <x:v>0.4</x:v>
      </x:c>
      <x:c r="H22" s="563" t="n">
        <x:f>MAX(MIN(F22*G22,D22),0)</x:f>
        <x:v>179.5197943044859</x:v>
      </x:c>
      <x:c r="I22" s="563" t="n">
        <x:f>MAX(F22-H22,0)</x:f>
        <x:v>269.27969145672887</x:v>
      </x:c>
      <x:c r="J22" s="185" t="n">
        <x:f>MAX('詳細設定'!$D$6,0)*(1+'詳細設定'!$D$21)^(A22-1)</x:f>
        <x:v>35.35</x:v>
      </x:c>
      <x:c r="K22" s="185" t="n">
        <x:f>IF(A22&lt;=MAX(MIN('詳細設定'!$D$8,20),0),MAX('詳細設定'!$D$7,0),IF(A22&lt;=MAX(MIN('詳細設定'!$D$10,20),0),MAX('詳細設定'!$D$9,0),MAX('詳細設定'!$D$11,0)))</x:f>
        <x:v>24</x:v>
      </x:c>
      <x:c r="L22" s="190" t="n">
        <x:f>H22*J22</x:f>
        <x:v>6346.024728663578</x:v>
      </x:c>
      <x:c r="M22" s="190" t="n">
        <x:f>I22*K22</x:f>
        <x:v>6462.712594961493</x:v>
      </x:c>
      <x:c r="N22" s="190" t="n">
        <x:f>L22+M22</x:f>
        <x:v>12808.737323625071</x:v>
      </x:c>
      <x:c r="O22" s="196" t="n">
        <x:f>F22-H22-I22</x:f>
        <x:v>0</x:v>
      </x:c>
    </x:row>
    <x:row r="23">
      <x:c r="A23" s="20" t="n">
        <x:v>2</x:v>
      </x:c>
      <x:c r="B23" s="20" t="n">
        <x:v>7</x:v>
      </x:c>
      <x:c r="C23" s="563" t="n">
        <x:f>'_計算月次'!$J$11</x:f>
        <x:v>476.0181638067866</x:v>
      </x:c>
      <x:c r="D23" s="563" t="n">
        <x:f>'_計算月次'!$K$11</x:f>
        <x:v>405</x:v>
      </x:c>
      <x:c r="E23" s="585" t="n">
        <x:f>(1-MAX(MIN('詳細設定'!$D$16,0.999999),0))^(A23-1)</x:f>
        <x:v>1</x:v>
      </x:c>
      <x:c r="F23" s="563" t="n">
        <x:f>MAX(C23*E23,0)</x:f>
        <x:v>476.0181638067866</x:v>
      </x:c>
      <x:c r="G23" s="563" t="n">
        <x:f>MAX(MIN('詳細設定'!$D$15,1),0)</x:f>
        <x:v>0.4</x:v>
      </x:c>
      <x:c r="H23" s="563" t="n">
        <x:f>MAX(MIN(F23*G23,D23),0)</x:f>
        <x:v>190.40726552271465</x:v>
      </x:c>
      <x:c r="I23" s="563" t="n">
        <x:f>MAX(F23-H23,0)</x:f>
        <x:v>285.61089828407194</x:v>
      </x:c>
      <x:c r="J23" s="185" t="n">
        <x:f>MAX('詳細設定'!$D$6,0)*(1+'詳細設定'!$D$21)^(A23-1)</x:f>
        <x:v>35.35</x:v>
      </x:c>
      <x:c r="K23" s="185" t="n">
        <x:f>IF(A23&lt;=MAX(MIN('詳細設定'!$D$8,20),0),MAX('詳細設定'!$D$7,0),IF(A23&lt;=MAX(MIN('詳細設定'!$D$10,20),0),MAX('詳細設定'!$D$9,0),MAX('詳細設定'!$D$11,0)))</x:f>
        <x:v>24</x:v>
      </x:c>
      <x:c r="L23" s="190" t="n">
        <x:f>H23*J23</x:f>
        <x:v>6730.896836227963</x:v>
      </x:c>
      <x:c r="M23" s="190" t="n">
        <x:f>I23*K23</x:f>
        <x:v>6854.6615588177265</x:v>
      </x:c>
      <x:c r="N23" s="190" t="n">
        <x:f>L23+M23</x:f>
        <x:v>13585.55839504569</x:v>
      </x:c>
      <x:c r="O23" s="196" t="n">
        <x:f>F23-H23-I23</x:f>
        <x:v>0</x:v>
      </x:c>
    </x:row>
    <x:row r="24">
      <x:c r="A24" s="20" t="n">
        <x:v>2</x:v>
      </x:c>
      <x:c r="B24" s="20" t="n">
        <x:v>8</x:v>
      </x:c>
      <x:c r="C24" s="563" t="n">
        <x:f>'_計算月次'!$J$12</x:f>
        <x:v>528.6548067323699</x:v>
      </x:c>
      <x:c r="D24" s="563" t="n">
        <x:f>'_計算月次'!$K$12</x:f>
        <x:v>450</x:v>
      </x:c>
      <x:c r="E24" s="585" t="n">
        <x:f>(1-MAX(MIN('詳細設定'!$D$16,0.999999),0))^(A24-1)</x:f>
        <x:v>1</x:v>
      </x:c>
      <x:c r="F24" s="563" t="n">
        <x:f>MAX(C24*E24,0)</x:f>
        <x:v>528.6548067323699</x:v>
      </x:c>
      <x:c r="G24" s="563" t="n">
        <x:f>MAX(MIN('詳細設定'!$D$15,1),0)</x:f>
        <x:v>0.4</x:v>
      </x:c>
      <x:c r="H24" s="563" t="n">
        <x:f>MAX(MIN(F24*G24,D24),0)</x:f>
        <x:v>211.46192269294798</x:v>
      </x:c>
      <x:c r="I24" s="563" t="n">
        <x:f>MAX(F24-H24,0)</x:f>
        <x:v>317.192884039422</x:v>
      </x:c>
      <x:c r="J24" s="185" t="n">
        <x:f>MAX('詳細設定'!$D$6,0)*(1+'詳細設定'!$D$21)^(A24-1)</x:f>
        <x:v>35.35</x:v>
      </x:c>
      <x:c r="K24" s="185" t="n">
        <x:f>IF(A24&lt;=MAX(MIN('詳細設定'!$D$8,20),0),MAX('詳細設定'!$D$7,0),IF(A24&lt;=MAX(MIN('詳細設定'!$D$10,20),0),MAX('詳細設定'!$D$9,0),MAX('詳細設定'!$D$11,0)))</x:f>
        <x:v>24</x:v>
      </x:c>
      <x:c r="L24" s="190" t="n">
        <x:f>H24*J24</x:f>
        <x:v>7475.178967195711</x:v>
      </x:c>
      <x:c r="M24" s="190" t="n">
        <x:f>I24*K24</x:f>
        <x:v>7612.629216946128</x:v>
      </x:c>
      <x:c r="N24" s="190" t="n">
        <x:f>L24+M24</x:f>
        <x:v>15087.808184141839</x:v>
      </x:c>
      <x:c r="O24" s="196" t="n">
        <x:f>F24-H24-I24</x:f>
        <x:v>0</x:v>
      </x:c>
    </x:row>
    <x:row r="25">
      <x:c r="A25" s="20" t="n">
        <x:v>2</x:v>
      </x:c>
      <x:c r="B25" s="20" t="n">
        <x:v>9</x:v>
      </x:c>
      <x:c r="C25" s="563" t="n">
        <x:f>'_計算月次'!$J$13</x:f>
        <x:v>436.37734765103465</x:v>
      </x:c>
      <x:c r="D25" s="563" t="n">
        <x:f>'_計算月次'!$K$13</x:f>
        <x:v>360</x:v>
      </x:c>
      <x:c r="E25" s="585" t="n">
        <x:f>(1-MAX(MIN('詳細設定'!$D$16,0.999999),0))^(A25-1)</x:f>
        <x:v>1</x:v>
      </x:c>
      <x:c r="F25" s="563" t="n">
        <x:f>MAX(C25*E25,0)</x:f>
        <x:v>436.37734765103465</x:v>
      </x:c>
      <x:c r="G25" s="563" t="n">
        <x:f>MAX(MIN('詳細設定'!$D$15,1),0)</x:f>
        <x:v>0.4</x:v>
      </x:c>
      <x:c r="H25" s="563" t="n">
        <x:f>MAX(MIN(F25*G25,D25),0)</x:f>
        <x:v>174.55093906041387</x:v>
      </x:c>
      <x:c r="I25" s="563" t="n">
        <x:f>MAX(F25-H25,0)</x:f>
        <x:v>261.82640859062076</x:v>
      </x:c>
      <x:c r="J25" s="185" t="n">
        <x:f>MAX('詳細設定'!$D$6,0)*(1+'詳細設定'!$D$21)^(A25-1)</x:f>
        <x:v>35.35</x:v>
      </x:c>
      <x:c r="K25" s="185" t="n">
        <x:f>IF(A25&lt;=MAX(MIN('詳細設定'!$D$8,20),0),MAX('詳細設定'!$D$7,0),IF(A25&lt;=MAX(MIN('詳細設定'!$D$10,20),0),MAX('詳細設定'!$D$9,0),MAX('詳細設定'!$D$11,0)))</x:f>
        <x:v>24</x:v>
      </x:c>
      <x:c r="L25" s="190" t="n">
        <x:f>H25*J25</x:f>
        <x:v>6170.37569578563</x:v>
      </x:c>
      <x:c r="M25" s="190" t="n">
        <x:f>I25*K25</x:f>
        <x:v>6283.833806174898</x:v>
      </x:c>
      <x:c r="N25" s="190" t="n">
        <x:f>L25+M25</x:f>
        <x:v>12454.20950196053</x:v>
      </x:c>
      <x:c r="O25" s="196" t="n">
        <x:f>F25-H25-I25</x:f>
        <x:v>0</x:v>
      </x:c>
    </x:row>
    <x:row r="26">
      <x:c r="A26" s="20" t="n">
        <x:v>2</x:v>
      </x:c>
      <x:c r="B26" s="20" t="n">
        <x:v>10</x:v>
      </x:c>
      <x:c r="C26" s="563" t="n">
        <x:f>'_計算月次'!$J$14</x:f>
        <x:v>408.8269849869007</x:v>
      </x:c>
      <x:c r="D26" s="563" t="n">
        <x:f>'_計算月次'!$K$14</x:f>
        <x:v>315.00000000000006</x:v>
      </x:c>
      <x:c r="E26" s="585" t="n">
        <x:f>(1-MAX(MIN('詳細設定'!$D$16,0.999999),0))^(A26-1)</x:f>
        <x:v>1</x:v>
      </x:c>
      <x:c r="F26" s="563" t="n">
        <x:f>MAX(C26*E26,0)</x:f>
        <x:v>408.8269849869007</x:v>
      </x:c>
      <x:c r="G26" s="563" t="n">
        <x:f>MAX(MIN('詳細設定'!$D$15,1),0)</x:f>
        <x:v>0.4</x:v>
      </x:c>
      <x:c r="H26" s="563" t="n">
        <x:f>MAX(MIN(F26*G26,D26),0)</x:f>
        <x:v>163.5307939947603</x:v>
      </x:c>
      <x:c r="I26" s="563" t="n">
        <x:f>MAX(F26-H26,0)</x:f>
        <x:v>245.2961909921404</x:v>
      </x:c>
      <x:c r="J26" s="185" t="n">
        <x:f>MAX('詳細設定'!$D$6,0)*(1+'詳細設定'!$D$21)^(A26-1)</x:f>
        <x:v>35.35</x:v>
      </x:c>
      <x:c r="K26" s="185" t="n">
        <x:f>IF(A26&lt;=MAX(MIN('詳細設定'!$D$8,20),0),MAX('詳細設定'!$D$7,0),IF(A26&lt;=MAX(MIN('詳細設定'!$D$10,20),0),MAX('詳細設定'!$D$9,0),MAX('詳細設定'!$D$11,0)))</x:f>
        <x:v>24</x:v>
      </x:c>
      <x:c r="L26" s="190" t="n">
        <x:f>H26*J26</x:f>
        <x:v>5780.813567714777</x:v>
      </x:c>
      <x:c r="M26" s="190" t="n">
        <x:f>I26*K26</x:f>
        <x:v>5887.1085838113695</x:v>
      </x:c>
      <x:c r="N26" s="190" t="n">
        <x:f>L26+M26</x:f>
        <x:v>11667.922151526145</x:v>
      </x:c>
      <x:c r="O26" s="196" t="n">
        <x:f>F26-H26-I26</x:f>
        <x:v>0</x:v>
      </x:c>
    </x:row>
    <x:row r="27">
      <x:c r="A27" s="20" t="n">
        <x:v>2</x:v>
      </x:c>
      <x:c r="B27" s="20" t="n">
        <x:v>11</x:v>
      </x:c>
      <x:c r="C27" s="563" t="n">
        <x:f>'_計算月次'!$J$15</x:f>
        <x:v>398.45169764745054</x:v>
      </x:c>
      <x:c r="D27" s="563" t="n">
        <x:f>'_計算月次'!$K$15</x:f>
        <x:v>360</x:v>
      </x:c>
      <x:c r="E27" s="585" t="n">
        <x:f>(1-MAX(MIN('詳細設定'!$D$16,0.999999),0))^(A27-1)</x:f>
        <x:v>1</x:v>
      </x:c>
      <x:c r="F27" s="563" t="n">
        <x:f>MAX(C27*E27,0)</x:f>
        <x:v>398.45169764745054</x:v>
      </x:c>
      <x:c r="G27" s="563" t="n">
        <x:f>MAX(MIN('詳細設定'!$D$15,1),0)</x:f>
        <x:v>0.4</x:v>
      </x:c>
      <x:c r="H27" s="563" t="n">
        <x:f>MAX(MIN(F27*G27,D27),0)</x:f>
        <x:v>159.38067905898023</x:v>
      </x:c>
      <x:c r="I27" s="563" t="n">
        <x:f>MAX(F27-H27,0)</x:f>
        <x:v>239.0710185884703</x:v>
      </x:c>
      <x:c r="J27" s="185" t="n">
        <x:f>MAX('詳細設定'!$D$6,0)*(1+'詳細設定'!$D$21)^(A27-1)</x:f>
        <x:v>35.35</x:v>
      </x:c>
      <x:c r="K27" s="185" t="n">
        <x:f>IF(A27&lt;=MAX(MIN('詳細設定'!$D$8,20),0),MAX('詳細設定'!$D$7,0),IF(A27&lt;=MAX(MIN('詳細設定'!$D$10,20),0),MAX('詳細設定'!$D$9,0),MAX('詳細設定'!$D$11,0)))</x:f>
        <x:v>24</x:v>
      </x:c>
      <x:c r="L27" s="190" t="n">
        <x:f>H27*J27</x:f>
        <x:v>5634.107004734951</x:v>
      </x:c>
      <x:c r="M27" s="190" t="n">
        <x:f>I27*K27</x:f>
        <x:v>5737.704446123287</x:v>
      </x:c>
      <x:c r="N27" s="190" t="n">
        <x:f>L27+M27</x:f>
        <x:v>11371.811450858238</x:v>
      </x:c>
      <x:c r="O27" s="196" t="n">
        <x:f>F27-H27-I27</x:f>
        <x:v>0</x:v>
      </x:c>
    </x:row>
    <x:row r="28">
      <x:c r="A28" s="20" t="n">
        <x:v>2</x:v>
      </x:c>
      <x:c r="B28" s="20" t="n">
        <x:v>12</x:v>
      </x:c>
      <x:c r="C28" s="563" t="n">
        <x:f>'_計算月次'!$J$16</x:f>
        <x:v>443.97248688000184</x:v>
      </x:c>
      <x:c r="D28" s="563" t="n">
        <x:f>'_計算月次'!$K$16</x:f>
        <x:v>405</x:v>
      </x:c>
      <x:c r="E28" s="585" t="n">
        <x:f>(1-MAX(MIN('詳細設定'!$D$16,0.999999),0))^(A28-1)</x:f>
        <x:v>1</x:v>
      </x:c>
      <x:c r="F28" s="563" t="n">
        <x:f>MAX(C28*E28,0)</x:f>
        <x:v>443.97248688000184</x:v>
      </x:c>
      <x:c r="G28" s="563" t="n">
        <x:f>MAX(MIN('詳細設定'!$D$15,1),0)</x:f>
        <x:v>0.4</x:v>
      </x:c>
      <x:c r="H28" s="563" t="n">
        <x:f>MAX(MIN(F28*G28,D28),0)</x:f>
        <x:v>177.58899475200076</x:v>
      </x:c>
      <x:c r="I28" s="563" t="n">
        <x:f>MAX(F28-H28,0)</x:f>
        <x:v>266.3834921280011</x:v>
      </x:c>
      <x:c r="J28" s="185" t="n">
        <x:f>MAX('詳細設定'!$D$6,0)*(1+'詳細設定'!$D$21)^(A28-1)</x:f>
        <x:v>35.35</x:v>
      </x:c>
      <x:c r="K28" s="185" t="n">
        <x:f>IF(A28&lt;=MAX(MIN('詳細設定'!$D$8,20),0),MAX('詳細設定'!$D$7,0),IF(A28&lt;=MAX(MIN('詳細設定'!$D$10,20),0),MAX('詳細設定'!$D$9,0),MAX('詳細設定'!$D$11,0)))</x:f>
        <x:v>24</x:v>
      </x:c>
      <x:c r="L28" s="190" t="n">
        <x:f>H28*J28</x:f>
        <x:v>6277.770964483227</x:v>
      </x:c>
      <x:c r="M28" s="190" t="n">
        <x:f>I28*K28</x:f>
        <x:v>6393.203811072026</x:v>
      </x:c>
      <x:c r="N28" s="190" t="n">
        <x:f>L28+M28</x:f>
        <x:v>12670.974775555253</x:v>
      </x:c>
      <x:c r="O28" s="196" t="n">
        <x:f>F28-H28-I28</x:f>
        <x:v>0</x:v>
      </x:c>
    </x:row>
    <x:row r="29">
      <x:c r="A29" s="20" t="n">
        <x:v>3</x:v>
      </x:c>
      <x:c r="B29" s="20" t="n">
        <x:v>1</x:v>
      </x:c>
      <x:c r="C29" s="563" t="n">
        <x:f>'_計算月次'!$J$5</x:f>
        <x:v>502.4147595742038</x:v>
      </x:c>
      <x:c r="D29" s="563" t="n">
        <x:f>'_計算月次'!$K$5</x:f>
        <x:v>450</x:v>
      </x:c>
      <x:c r="E29" s="585" t="n">
        <x:f>(1-MAX(MIN('詳細設定'!$D$16,0.999999),0))^(A29-1)</x:f>
        <x:v>1</x:v>
      </x:c>
      <x:c r="F29" s="563" t="n">
        <x:f>MAX(C29*E29,0)</x:f>
        <x:v>502.4147595742038</x:v>
      </x:c>
      <x:c r="G29" s="563" t="n">
        <x:f>MAX(MIN('詳細設定'!$D$15,1),0)</x:f>
        <x:v>0.4</x:v>
      </x:c>
      <x:c r="H29" s="563" t="n">
        <x:f>MAX(MIN(F29*G29,D29),0)</x:f>
        <x:v>200.96590382968154</x:v>
      </x:c>
      <x:c r="I29" s="563" t="n">
        <x:f>MAX(F29-H29,0)</x:f>
        <x:v>301.44885574452223</x:v>
      </x:c>
      <x:c r="J29" s="185" t="n">
        <x:f>MAX('詳細設定'!$D$6,0)*(1+'詳細設定'!$D$21)^(A29-1)</x:f>
        <x:v>35.7035</x:v>
      </x:c>
      <x:c r="K29" s="185" t="n">
        <x:f>IF(A29&lt;=MAX(MIN('詳細設定'!$D$8,20),0),MAX('詳細設定'!$D$7,0),IF(A29&lt;=MAX(MIN('詳細設定'!$D$10,20),0),MAX('詳細設定'!$D$9,0),MAX('詳細設定'!$D$11,0)))</x:f>
        <x:v>24</x:v>
      </x:c>
      <x:c r="L29" s="190" t="n">
        <x:f>H29*J29</x:f>
        <x:v>7175.186147383034</x:v>
      </x:c>
      <x:c r="M29" s="190" t="n">
        <x:f>I29*K29</x:f>
        <x:v>7234.772537868534</x:v>
      </x:c>
      <x:c r="N29" s="190" t="n">
        <x:f>L29+M29</x:f>
        <x:v>14409.958685251568</x:v>
      </x:c>
      <x:c r="O29" s="196" t="n">
        <x:f>F29-H29-I29</x:f>
        <x:v>0</x:v>
      </x:c>
    </x:row>
    <x:row r="30">
      <x:c r="A30" s="20" t="n">
        <x:v>3</x:v>
      </x:c>
      <x:c r="B30" s="20" t="n">
        <x:v>2</x:v>
      </x:c>
      <x:c r="C30" s="563" t="n">
        <x:f>'_計算月次'!$J$6</x:f>
        <x:v>472.4508339500229</x:v>
      </x:c>
      <x:c r="D30" s="563" t="n">
        <x:f>'_計算月次'!$K$6</x:f>
        <x:v>405</x:v>
      </x:c>
      <x:c r="E30" s="585" t="n">
        <x:f>(1-MAX(MIN('詳細設定'!$D$16,0.999999),0))^(A30-1)</x:f>
        <x:v>1</x:v>
      </x:c>
      <x:c r="F30" s="563" t="n">
        <x:f>MAX(C30*E30,0)</x:f>
        <x:v>472.4508339500229</x:v>
      </x:c>
      <x:c r="G30" s="563" t="n">
        <x:f>MAX(MIN('詳細設定'!$D$15,1),0)</x:f>
        <x:v>0.4</x:v>
      </x:c>
      <x:c r="H30" s="563" t="n">
        <x:f>MAX(MIN(F30*G30,D30),0)</x:f>
        <x:v>188.9803335800092</x:v>
      </x:c>
      <x:c r="I30" s="563" t="n">
        <x:f>MAX(F30-H30,0)</x:f>
        <x:v>283.4705003700137</x:v>
      </x:c>
      <x:c r="J30" s="185" t="n">
        <x:f>MAX('詳細設定'!$D$6,0)*(1+'詳細設定'!$D$21)^(A30-1)</x:f>
        <x:v>35.7035</x:v>
      </x:c>
      <x:c r="K30" s="185" t="n">
        <x:f>IF(A30&lt;=MAX(MIN('詳細設定'!$D$8,20),0),MAX('詳細設定'!$D$7,0),IF(A30&lt;=MAX(MIN('詳細設定'!$D$10,20),0),MAX('詳細設定'!$D$9,0),MAX('詳細設定'!$D$11,0)))</x:f>
        <x:v>24</x:v>
      </x:c>
      <x:c r="L30" s="190" t="n">
        <x:f>H30*J30</x:f>
        <x:v>6747.259339973858</x:v>
      </x:c>
      <x:c r="M30" s="190" t="n">
        <x:f>I30*K30</x:f>
        <x:v>6803.292008880329</x:v>
      </x:c>
      <x:c r="N30" s="190" t="n">
        <x:f>L30+M30</x:f>
        <x:v>13550.551348854187</x:v>
      </x:c>
      <x:c r="O30" s="196" t="n">
        <x:f>F30-H30-I30</x:f>
        <x:v>0</x:v>
      </x:c>
    </x:row>
    <x:row r="31">
      <x:c r="A31" s="20" t="n">
        <x:v>3</x:v>
      </x:c>
      <x:c r="B31" s="20" t="n">
        <x:v>3</x:v>
      </x:c>
      <x:c r="C31" s="563" t="n">
        <x:f>'_計算月次'!$J$7</x:f>
        <x:v>548.3418864753118</x:v>
      </x:c>
      <x:c r="D31" s="563" t="n">
        <x:f>'_計算月次'!$K$7</x:f>
        <x:v>360</x:v>
      </x:c>
      <x:c r="E31" s="585" t="n">
        <x:f>(1-MAX(MIN('詳細設定'!$D$16,0.999999),0))^(A31-1)</x:f>
        <x:v>1</x:v>
      </x:c>
      <x:c r="F31" s="563" t="n">
        <x:f>MAX(C31*E31,0)</x:f>
        <x:v>548.3418864753118</x:v>
      </x:c>
      <x:c r="G31" s="563" t="n">
        <x:f>MAX(MIN('詳細設定'!$D$15,1),0)</x:f>
        <x:v>0.4</x:v>
      </x:c>
      <x:c r="H31" s="563" t="n">
        <x:f>MAX(MIN(F31*G31,D31),0)</x:f>
        <x:v>219.3367545901247</x:v>
      </x:c>
      <x:c r="I31" s="563" t="n">
        <x:f>MAX(F31-H31,0)</x:f>
        <x:v>329.00513188518704</x:v>
      </x:c>
      <x:c r="J31" s="185" t="n">
        <x:f>MAX('詳細設定'!$D$6,0)*(1+'詳細設定'!$D$21)^(A31-1)</x:f>
        <x:v>35.7035</x:v>
      </x:c>
      <x:c r="K31" s="185" t="n">
        <x:f>IF(A31&lt;=MAX(MIN('詳細設定'!$D$8,20),0),MAX('詳細設定'!$D$7,0),IF(A31&lt;=MAX(MIN('詳細設定'!$D$10,20),0),MAX('詳細設定'!$D$9,0),MAX('詳細設定'!$D$11,0)))</x:f>
        <x:v>24</x:v>
      </x:c>
      <x:c r="L31" s="190" t="n">
        <x:f>H31*J31</x:f>
        <x:v>7831.089817508518</x:v>
      </x:c>
      <x:c r="M31" s="190" t="n">
        <x:f>I31*K31</x:f>
        <x:v>7896.123165244489</x:v>
      </x:c>
      <x:c r="N31" s="190" t="n">
        <x:f>L31+M31</x:f>
        <x:v>15727.212982753008</x:v>
      </x:c>
      <x:c r="O31" s="196" t="n">
        <x:f>F31-H31-I31</x:f>
        <x:v>0</x:v>
      </x:c>
    </x:row>
    <x:row r="32">
      <x:c r="A32" s="20" t="n">
        <x:v>3</x:v>
      </x:c>
      <x:c r="B32" s="20" t="n">
        <x:v>4</x:v>
      </x:c>
      <x:c r="C32" s="563" t="n">
        <x:f>'_計算月次'!$J$8</x:f>
        <x:v>548.3944393749554</x:v>
      </x:c>
      <x:c r="D32" s="563" t="n">
        <x:f>'_計算月次'!$K$8</x:f>
        <x:v>315.00000000000006</x:v>
      </x:c>
      <x:c r="E32" s="585" t="n">
        <x:f>(1-MAX(MIN('詳細設定'!$D$16,0.999999),0))^(A32-1)</x:f>
        <x:v>1</x:v>
      </x:c>
      <x:c r="F32" s="563" t="n">
        <x:f>MAX(C32*E32,0)</x:f>
        <x:v>548.3944393749554</x:v>
      </x:c>
      <x:c r="G32" s="563" t="n">
        <x:f>MAX(MIN('詳細設定'!$D$15,1),0)</x:f>
        <x:v>0.4</x:v>
      </x:c>
      <x:c r="H32" s="563" t="n">
        <x:f>MAX(MIN(F32*G32,D32),0)</x:f>
        <x:v>219.35777574998215</x:v>
      </x:c>
      <x:c r="I32" s="563" t="n">
        <x:f>MAX(F32-H32,0)</x:f>
        <x:v>329.03666362497324</x:v>
      </x:c>
      <x:c r="J32" s="185" t="n">
        <x:f>MAX('詳細設定'!$D$6,0)*(1+'詳細設定'!$D$21)^(A32-1)</x:f>
        <x:v>35.7035</x:v>
      </x:c>
      <x:c r="K32" s="185" t="n">
        <x:f>IF(A32&lt;=MAX(MIN('詳細設定'!$D$8,20),0),MAX('詳細設定'!$D$7,0),IF(A32&lt;=MAX(MIN('詳細設定'!$D$10,20),0),MAX('詳細設定'!$D$9,0),MAX('詳細設定'!$D$11,0)))</x:f>
        <x:v>24</x:v>
      </x:c>
      <x:c r="L32" s="190" t="n">
        <x:f>H32*J32</x:f>
        <x:v>7831.840346489487</x:v>
      </x:c>
      <x:c r="M32" s="190" t="n">
        <x:f>I32*K32</x:f>
        <x:v>7896.879926999358</x:v>
      </x:c>
      <x:c r="N32" s="190" t="n">
        <x:f>L32+M32</x:f>
        <x:v>15728.720273488845</x:v>
      </x:c>
      <x:c r="O32" s="196" t="n">
        <x:f>F32-H32-I32</x:f>
        <x:v>0</x:v>
      </x:c>
    </x:row>
    <x:row r="33">
      <x:c r="A33" s="20" t="n">
        <x:v>3</x:v>
      </x:c>
      <x:c r="B33" s="20" t="n">
        <x:v>5</x:v>
      </x:c>
      <x:c r="C33" s="563" t="n">
        <x:f>'_計算月次'!$J$9</x:f>
        <x:v>552.2367574934775</x:v>
      </x:c>
      <x:c r="D33" s="563" t="n">
        <x:f>'_計算月次'!$K$9</x:f>
        <x:v>315.00000000000006</x:v>
      </x:c>
      <x:c r="E33" s="585" t="n">
        <x:f>(1-MAX(MIN('詳細設定'!$D$16,0.999999),0))^(A33-1)</x:f>
        <x:v>1</x:v>
      </x:c>
      <x:c r="F33" s="563" t="n">
        <x:f>MAX(C33*E33,0)</x:f>
        <x:v>552.2367574934775</x:v>
      </x:c>
      <x:c r="G33" s="563" t="n">
        <x:f>MAX(MIN('詳細設定'!$D$15,1),0)</x:f>
        <x:v>0.4</x:v>
      </x:c>
      <x:c r="H33" s="563" t="n">
        <x:f>MAX(MIN(F33*G33,D33),0)</x:f>
        <x:v>220.89470299739102</x:v>
      </x:c>
      <x:c r="I33" s="563" t="n">
        <x:f>MAX(F33-H33,0)</x:f>
        <x:v>331.34205449608646</x:v>
      </x:c>
      <x:c r="J33" s="185" t="n">
        <x:f>MAX('詳細設定'!$D$6,0)*(1+'詳細設定'!$D$21)^(A33-1)</x:f>
        <x:v>35.7035</x:v>
      </x:c>
      <x:c r="K33" s="185" t="n">
        <x:f>IF(A33&lt;=MAX(MIN('詳細設定'!$D$8,20),0),MAX('詳細設定'!$D$7,0),IF(A33&lt;=MAX(MIN('詳細設定'!$D$10,20),0),MAX('詳細設定'!$D$9,0),MAX('詳細設定'!$D$11,0)))</x:f>
        <x:v>24</x:v>
      </x:c>
      <x:c r="L33" s="190" t="n">
        <x:f>H33*J33</x:f>
        <x:v>7886.71402846735</x:v>
      </x:c>
      <x:c r="M33" s="190" t="n">
        <x:f>I33*K33</x:f>
        <x:v>7952.209307906075</x:v>
      </x:c>
      <x:c r="N33" s="190" t="n">
        <x:f>L33+M33</x:f>
        <x:v>15838.923336373424</x:v>
      </x:c>
      <x:c r="O33" s="196" t="n">
        <x:f>F33-H33-I33</x:f>
        <x:v>0</x:v>
      </x:c>
    </x:row>
    <x:row r="34">
      <x:c r="A34" s="20" t="n">
        <x:v>3</x:v>
      </x:c>
      <x:c r="B34" s="20" t="n">
        <x:v>6</x:v>
      </x:c>
      <x:c r="C34" s="563" t="n">
        <x:f>'_計算月次'!$J$10</x:f>
        <x:v>448.7994857612148</x:v>
      </x:c>
      <x:c r="D34" s="563" t="n">
        <x:f>'_計算月次'!$K$10</x:f>
        <x:v>360</x:v>
      </x:c>
      <x:c r="E34" s="585" t="n">
        <x:f>(1-MAX(MIN('詳細設定'!$D$16,0.999999),0))^(A34-1)</x:f>
        <x:v>1</x:v>
      </x:c>
      <x:c r="F34" s="563" t="n">
        <x:f>MAX(C34*E34,0)</x:f>
        <x:v>448.7994857612148</x:v>
      </x:c>
      <x:c r="G34" s="563" t="n">
        <x:f>MAX(MIN('詳細設定'!$D$15,1),0)</x:f>
        <x:v>0.4</x:v>
      </x:c>
      <x:c r="H34" s="563" t="n">
        <x:f>MAX(MIN(F34*G34,D34),0)</x:f>
        <x:v>179.5197943044859</x:v>
      </x:c>
      <x:c r="I34" s="563" t="n">
        <x:f>MAX(F34-H34,0)</x:f>
        <x:v>269.27969145672887</x:v>
      </x:c>
      <x:c r="J34" s="185" t="n">
        <x:f>MAX('詳細設定'!$D$6,0)*(1+'詳細設定'!$D$21)^(A34-1)</x:f>
        <x:v>35.7035</x:v>
      </x:c>
      <x:c r="K34" s="185" t="n">
        <x:f>IF(A34&lt;=MAX(MIN('詳細設定'!$D$8,20),0),MAX('詳細設定'!$D$7,0),IF(A34&lt;=MAX(MIN('詳細設定'!$D$10,20),0),MAX('詳細設定'!$D$9,0),MAX('詳細設定'!$D$11,0)))</x:f>
        <x:v>24</x:v>
      </x:c>
      <x:c r="L34" s="190" t="n">
        <x:f>H34*J34</x:f>
        <x:v>6409.484975950212</x:v>
      </x:c>
      <x:c r="M34" s="190" t="n">
        <x:f>I34*K34</x:f>
        <x:v>6462.712594961493</x:v>
      </x:c>
      <x:c r="N34" s="190" t="n">
        <x:f>L34+M34</x:f>
        <x:v>12872.197570911705</x:v>
      </x:c>
      <x:c r="O34" s="196" t="n">
        <x:f>F34-H34-I34</x:f>
        <x:v>0</x:v>
      </x:c>
    </x:row>
    <x:row r="35">
      <x:c r="A35" s="20" t="n">
        <x:v>3</x:v>
      </x:c>
      <x:c r="B35" s="20" t="n">
        <x:v>7</x:v>
      </x:c>
      <x:c r="C35" s="563" t="n">
        <x:f>'_計算月次'!$J$11</x:f>
        <x:v>476.0181638067866</x:v>
      </x:c>
      <x:c r="D35" s="563" t="n">
        <x:f>'_計算月次'!$K$11</x:f>
        <x:v>405</x:v>
      </x:c>
      <x:c r="E35" s="585" t="n">
        <x:f>(1-MAX(MIN('詳細設定'!$D$16,0.999999),0))^(A35-1)</x:f>
        <x:v>1</x:v>
      </x:c>
      <x:c r="F35" s="563" t="n">
        <x:f>MAX(C35*E35,0)</x:f>
        <x:v>476.0181638067866</x:v>
      </x:c>
      <x:c r="G35" s="563" t="n">
        <x:f>MAX(MIN('詳細設定'!$D$15,1),0)</x:f>
        <x:v>0.4</x:v>
      </x:c>
      <x:c r="H35" s="563" t="n">
        <x:f>MAX(MIN(F35*G35,D35),0)</x:f>
        <x:v>190.40726552271465</x:v>
      </x:c>
      <x:c r="I35" s="563" t="n">
        <x:f>MAX(F35-H35,0)</x:f>
        <x:v>285.61089828407194</x:v>
      </x:c>
      <x:c r="J35" s="185" t="n">
        <x:f>MAX('詳細設定'!$D$6,0)*(1+'詳細設定'!$D$21)^(A35-1)</x:f>
        <x:v>35.7035</x:v>
      </x:c>
      <x:c r="K35" s="185" t="n">
        <x:f>IF(A35&lt;=MAX(MIN('詳細設定'!$D$8,20),0),MAX('詳細設定'!$D$7,0),IF(A35&lt;=MAX(MIN('詳細設定'!$D$10,20),0),MAX('詳細設定'!$D$9,0),MAX('詳細設定'!$D$11,0)))</x:f>
        <x:v>24</x:v>
      </x:c>
      <x:c r="L35" s="190" t="n">
        <x:f>H35*J35</x:f>
        <x:v>6798.205804590242</x:v>
      </x:c>
      <x:c r="M35" s="190" t="n">
        <x:f>I35*K35</x:f>
        <x:v>6854.6615588177265</x:v>
      </x:c>
      <x:c r="N35" s="190" t="n">
        <x:f>L35+M35</x:f>
        <x:v>13652.867363407968</x:v>
      </x:c>
      <x:c r="O35" s="196" t="n">
        <x:f>F35-H35-I35</x:f>
        <x:v>0</x:v>
      </x:c>
    </x:row>
    <x:row r="36">
      <x:c r="A36" s="20" t="n">
        <x:v>3</x:v>
      </x:c>
      <x:c r="B36" s="20" t="n">
        <x:v>8</x:v>
      </x:c>
      <x:c r="C36" s="563" t="n">
        <x:f>'_計算月次'!$J$12</x:f>
        <x:v>528.6548067323699</x:v>
      </x:c>
      <x:c r="D36" s="563" t="n">
        <x:f>'_計算月次'!$K$12</x:f>
        <x:v>450</x:v>
      </x:c>
      <x:c r="E36" s="585" t="n">
        <x:f>(1-MAX(MIN('詳細設定'!$D$16,0.999999),0))^(A36-1)</x:f>
        <x:v>1</x:v>
      </x:c>
      <x:c r="F36" s="563" t="n">
        <x:f>MAX(C36*E36,0)</x:f>
        <x:v>528.6548067323699</x:v>
      </x:c>
      <x:c r="G36" s="563" t="n">
        <x:f>MAX(MIN('詳細設定'!$D$15,1),0)</x:f>
        <x:v>0.4</x:v>
      </x:c>
      <x:c r="H36" s="563" t="n">
        <x:f>MAX(MIN(F36*G36,D36),0)</x:f>
        <x:v>211.46192269294798</x:v>
      </x:c>
      <x:c r="I36" s="563" t="n">
        <x:f>MAX(F36-H36,0)</x:f>
        <x:v>317.192884039422</x:v>
      </x:c>
      <x:c r="J36" s="185" t="n">
        <x:f>MAX('詳細設定'!$D$6,0)*(1+'詳細設定'!$D$21)^(A36-1)</x:f>
        <x:v>35.7035</x:v>
      </x:c>
      <x:c r="K36" s="185" t="n">
        <x:f>IF(A36&lt;=MAX(MIN('詳細設定'!$D$8,20),0),MAX('詳細設定'!$D$7,0),IF(A36&lt;=MAX(MIN('詳細設定'!$D$10,20),0),MAX('詳細設定'!$D$9,0),MAX('詳細設定'!$D$11,0)))</x:f>
        <x:v>24</x:v>
      </x:c>
      <x:c r="L36" s="190" t="n">
        <x:f>H36*J36</x:f>
        <x:v>7549.930756867668</x:v>
      </x:c>
      <x:c r="M36" s="190" t="n">
        <x:f>I36*K36</x:f>
        <x:v>7612.629216946128</x:v>
      </x:c>
      <x:c r="N36" s="190" t="n">
        <x:f>L36+M36</x:f>
        <x:v>15162.559973813795</x:v>
      </x:c>
      <x:c r="O36" s="196" t="n">
        <x:f>F36-H36-I36</x:f>
        <x:v>0</x:v>
      </x:c>
    </x:row>
    <x:row r="37">
      <x:c r="A37" s="20" t="n">
        <x:v>3</x:v>
      </x:c>
      <x:c r="B37" s="20" t="n">
        <x:v>9</x:v>
      </x:c>
      <x:c r="C37" s="563" t="n">
        <x:f>'_計算月次'!$J$13</x:f>
        <x:v>436.37734765103465</x:v>
      </x:c>
      <x:c r="D37" s="563" t="n">
        <x:f>'_計算月次'!$K$13</x:f>
        <x:v>360</x:v>
      </x:c>
      <x:c r="E37" s="585" t="n">
        <x:f>(1-MAX(MIN('詳細設定'!$D$16,0.999999),0))^(A37-1)</x:f>
        <x:v>1</x:v>
      </x:c>
      <x:c r="F37" s="563" t="n">
        <x:f>MAX(C37*E37,0)</x:f>
        <x:v>436.37734765103465</x:v>
      </x:c>
      <x:c r="G37" s="563" t="n">
        <x:f>MAX(MIN('詳細設定'!$D$15,1),0)</x:f>
        <x:v>0.4</x:v>
      </x:c>
      <x:c r="H37" s="563" t="n">
        <x:f>MAX(MIN(F37*G37,D37),0)</x:f>
        <x:v>174.55093906041387</x:v>
      </x:c>
      <x:c r="I37" s="563" t="n">
        <x:f>MAX(F37-H37,0)</x:f>
        <x:v>261.82640859062076</x:v>
      </x:c>
      <x:c r="J37" s="185" t="n">
        <x:f>MAX('詳細設定'!$D$6,0)*(1+'詳細設定'!$D$21)^(A37-1)</x:f>
        <x:v>35.7035</x:v>
      </x:c>
      <x:c r="K37" s="185" t="n">
        <x:f>IF(A37&lt;=MAX(MIN('詳細設定'!$D$8,20),0),MAX('詳細設定'!$D$7,0),IF(A37&lt;=MAX(MIN('詳細設定'!$D$10,20),0),MAX('詳細設定'!$D$9,0),MAX('詳細設定'!$D$11,0)))</x:f>
        <x:v>24</x:v>
      </x:c>
      <x:c r="L37" s="190" t="n">
        <x:f>H37*J37</x:f>
        <x:v>6232.079452743486</x:v>
      </x:c>
      <x:c r="M37" s="190" t="n">
        <x:f>I37*K37</x:f>
        <x:v>6283.833806174898</x:v>
      </x:c>
      <x:c r="N37" s="190" t="n">
        <x:f>L37+M37</x:f>
        <x:v>12515.913258918385</x:v>
      </x:c>
      <x:c r="O37" s="196" t="n">
        <x:f>F37-H37-I37</x:f>
        <x:v>0</x:v>
      </x:c>
    </x:row>
    <x:row r="38">
      <x:c r="A38" s="20" t="n">
        <x:v>3</x:v>
      </x:c>
      <x:c r="B38" s="20" t="n">
        <x:v>10</x:v>
      </x:c>
      <x:c r="C38" s="563" t="n">
        <x:f>'_計算月次'!$J$14</x:f>
        <x:v>408.8269849869007</x:v>
      </x:c>
      <x:c r="D38" s="563" t="n">
        <x:f>'_計算月次'!$K$14</x:f>
        <x:v>315.00000000000006</x:v>
      </x:c>
      <x:c r="E38" s="585" t="n">
        <x:f>(1-MAX(MIN('詳細設定'!$D$16,0.999999),0))^(A38-1)</x:f>
        <x:v>1</x:v>
      </x:c>
      <x:c r="F38" s="563" t="n">
        <x:f>MAX(C38*E38,0)</x:f>
        <x:v>408.8269849869007</x:v>
      </x:c>
      <x:c r="G38" s="563" t="n">
        <x:f>MAX(MIN('詳細設定'!$D$15,1),0)</x:f>
        <x:v>0.4</x:v>
      </x:c>
      <x:c r="H38" s="563" t="n">
        <x:f>MAX(MIN(F38*G38,D38),0)</x:f>
        <x:v>163.5307939947603</x:v>
      </x:c>
      <x:c r="I38" s="563" t="n">
        <x:f>MAX(F38-H38,0)</x:f>
        <x:v>245.2961909921404</x:v>
      </x:c>
      <x:c r="J38" s="185" t="n">
        <x:f>MAX('詳細設定'!$D$6,0)*(1+'詳細設定'!$D$21)^(A38-1)</x:f>
        <x:v>35.7035</x:v>
      </x:c>
      <x:c r="K38" s="185" t="n">
        <x:f>IF(A38&lt;=MAX(MIN('詳細設定'!$D$8,20),0),MAX('詳細設定'!$D$7,0),IF(A38&lt;=MAX(MIN('詳細設定'!$D$10,20),0),MAX('詳細設定'!$D$9,0),MAX('詳細設定'!$D$11,0)))</x:f>
        <x:v>24</x:v>
      </x:c>
      <x:c r="L38" s="190" t="n">
        <x:f>H38*J38</x:f>
        <x:v>5838.621703391924</x:v>
      </x:c>
      <x:c r="M38" s="190" t="n">
        <x:f>I38*K38</x:f>
        <x:v>5887.1085838113695</x:v>
      </x:c>
      <x:c r="N38" s="190" t="n">
        <x:f>L38+M38</x:f>
        <x:v>11725.730287203292</x:v>
      </x:c>
      <x:c r="O38" s="196" t="n">
        <x:f>F38-H38-I38</x:f>
        <x:v>0</x:v>
      </x:c>
    </x:row>
    <x:row r="39">
      <x:c r="A39" s="20" t="n">
        <x:v>3</x:v>
      </x:c>
      <x:c r="B39" s="20" t="n">
        <x:v>11</x:v>
      </x:c>
      <x:c r="C39" s="563" t="n">
        <x:f>'_計算月次'!$J$15</x:f>
        <x:v>398.45169764745054</x:v>
      </x:c>
      <x:c r="D39" s="563" t="n">
        <x:f>'_計算月次'!$K$15</x:f>
        <x:v>360</x:v>
      </x:c>
      <x:c r="E39" s="585" t="n">
        <x:f>(1-MAX(MIN('詳細設定'!$D$16,0.999999),0))^(A39-1)</x:f>
        <x:v>1</x:v>
      </x:c>
      <x:c r="F39" s="563" t="n">
        <x:f>MAX(C39*E39,0)</x:f>
        <x:v>398.45169764745054</x:v>
      </x:c>
      <x:c r="G39" s="563" t="n">
        <x:f>MAX(MIN('詳細設定'!$D$15,1),0)</x:f>
        <x:v>0.4</x:v>
      </x:c>
      <x:c r="H39" s="563" t="n">
        <x:f>MAX(MIN(F39*G39,D39),0)</x:f>
        <x:v>159.38067905898023</x:v>
      </x:c>
      <x:c r="I39" s="563" t="n">
        <x:f>MAX(F39-H39,0)</x:f>
        <x:v>239.0710185884703</x:v>
      </x:c>
      <x:c r="J39" s="185" t="n">
        <x:f>MAX('詳細設定'!$D$6,0)*(1+'詳細設定'!$D$21)^(A39-1)</x:f>
        <x:v>35.7035</x:v>
      </x:c>
      <x:c r="K39" s="185" t="n">
        <x:f>IF(A39&lt;=MAX(MIN('詳細設定'!$D$8,20),0),MAX('詳細設定'!$D$7,0),IF(A39&lt;=MAX(MIN('詳細設定'!$D$10,20),0),MAX('詳細設定'!$D$9,0),MAX('詳細設定'!$D$11,0)))</x:f>
        <x:v>24</x:v>
      </x:c>
      <x:c r="L39" s="190" t="n">
        <x:f>H39*J39</x:f>
        <x:v>5690.448074782301</x:v>
      </x:c>
      <x:c r="M39" s="190" t="n">
        <x:f>I39*K39</x:f>
        <x:v>5737.704446123287</x:v>
      </x:c>
      <x:c r="N39" s="190" t="n">
        <x:f>L39+M39</x:f>
        <x:v>11428.152520905587</x:v>
      </x:c>
      <x:c r="O39" s="196" t="n">
        <x:f>F39-H39-I39</x:f>
        <x:v>0</x:v>
      </x:c>
    </x:row>
    <x:row r="40">
      <x:c r="A40" s="20" t="n">
        <x:v>3</x:v>
      </x:c>
      <x:c r="B40" s="20" t="n">
        <x:v>12</x:v>
      </x:c>
      <x:c r="C40" s="563" t="n">
        <x:f>'_計算月次'!$J$16</x:f>
        <x:v>443.97248688000184</x:v>
      </x:c>
      <x:c r="D40" s="563" t="n">
        <x:f>'_計算月次'!$K$16</x:f>
        <x:v>405</x:v>
      </x:c>
      <x:c r="E40" s="585" t="n">
        <x:f>(1-MAX(MIN('詳細設定'!$D$16,0.999999),0))^(A40-1)</x:f>
        <x:v>1</x:v>
      </x:c>
      <x:c r="F40" s="563" t="n">
        <x:f>MAX(C40*E40,0)</x:f>
        <x:v>443.97248688000184</x:v>
      </x:c>
      <x:c r="G40" s="563" t="n">
        <x:f>MAX(MIN('詳細設定'!$D$15,1),0)</x:f>
        <x:v>0.4</x:v>
      </x:c>
      <x:c r="H40" s="563" t="n">
        <x:f>MAX(MIN(F40*G40,D40),0)</x:f>
        <x:v>177.58899475200076</x:v>
      </x:c>
      <x:c r="I40" s="563" t="n">
        <x:f>MAX(F40-H40,0)</x:f>
        <x:v>266.3834921280011</x:v>
      </x:c>
      <x:c r="J40" s="185" t="n">
        <x:f>MAX('詳細設定'!$D$6,0)*(1+'詳細設定'!$D$21)^(A40-1)</x:f>
        <x:v>35.7035</x:v>
      </x:c>
      <x:c r="K40" s="185" t="n">
        <x:f>IF(A40&lt;=MAX(MIN('詳細設定'!$D$8,20),0),MAX('詳細設定'!$D$7,0),IF(A40&lt;=MAX(MIN('詳細設定'!$D$10,20),0),MAX('詳細設定'!$D$9,0),MAX('詳細設定'!$D$11,0)))</x:f>
        <x:v>24</x:v>
      </x:c>
      <x:c r="L40" s="190" t="n">
        <x:f>H40*J40</x:f>
        <x:v>6340.548674128058</x:v>
      </x:c>
      <x:c r="M40" s="190" t="n">
        <x:f>I40*K40</x:f>
        <x:v>6393.203811072026</x:v>
      </x:c>
      <x:c r="N40" s="190" t="n">
        <x:f>L40+M40</x:f>
        <x:v>12733.752485200084</x:v>
      </x:c>
      <x:c r="O40" s="196" t="n">
        <x:f>F40-H40-I40</x:f>
        <x:v>0</x:v>
      </x:c>
    </x:row>
    <x:row r="41">
      <x:c r="A41" s="20" t="n">
        <x:v>4</x:v>
      </x:c>
      <x:c r="B41" s="20" t="n">
        <x:v>1</x:v>
      </x:c>
      <x:c r="C41" s="563" t="n">
        <x:f>'_計算月次'!$J$5</x:f>
        <x:v>502.4147595742038</x:v>
      </x:c>
      <x:c r="D41" s="563" t="n">
        <x:f>'_計算月次'!$K$5</x:f>
        <x:v>450</x:v>
      </x:c>
      <x:c r="E41" s="585" t="n">
        <x:f>(1-MAX(MIN('詳細設定'!$D$16,0.999999),0))^(A41-1)</x:f>
        <x:v>1</x:v>
      </x:c>
      <x:c r="F41" s="563" t="n">
        <x:f>MAX(C41*E41,0)</x:f>
        <x:v>502.4147595742038</x:v>
      </x:c>
      <x:c r="G41" s="563" t="n">
        <x:f>MAX(MIN('詳細設定'!$D$15,1),0)</x:f>
        <x:v>0.4</x:v>
      </x:c>
      <x:c r="H41" s="563" t="n">
        <x:f>MAX(MIN(F41*G41,D41),0)</x:f>
        <x:v>200.96590382968154</x:v>
      </x:c>
      <x:c r="I41" s="563" t="n">
        <x:f>MAX(F41-H41,0)</x:f>
        <x:v>301.44885574452223</x:v>
      </x:c>
      <x:c r="J41" s="185" t="n">
        <x:f>MAX('詳細設定'!$D$6,0)*(1+'詳細設定'!$D$21)^(A41-1)</x:f>
        <x:v>36.060535</x:v>
      </x:c>
      <x:c r="K41" s="185" t="n">
        <x:f>IF(A41&lt;=MAX(MIN('詳細設定'!$D$8,20),0),MAX('詳細設定'!$D$7,0),IF(A41&lt;=MAX(MIN('詳細設定'!$D$10,20),0),MAX('詳細設定'!$D$9,0),MAX('詳細設定'!$D$11,0)))</x:f>
        <x:v>24</x:v>
      </x:c>
      <x:c r="L41" s="190" t="n">
        <x:f>H41*J41</x:f>
        <x:v>7246.938008856865</x:v>
      </x:c>
      <x:c r="M41" s="190" t="n">
        <x:f>I41*K41</x:f>
        <x:v>7234.772537868534</x:v>
      </x:c>
      <x:c r="N41" s="190" t="n">
        <x:f>L41+M41</x:f>
        <x:v>14481.710546725399</x:v>
      </x:c>
      <x:c r="O41" s="196" t="n">
        <x:f>F41-H41-I41</x:f>
        <x:v>0</x:v>
      </x:c>
    </x:row>
    <x:row r="42">
      <x:c r="A42" s="20" t="n">
        <x:v>4</x:v>
      </x:c>
      <x:c r="B42" s="20" t="n">
        <x:v>2</x:v>
      </x:c>
      <x:c r="C42" s="563" t="n">
        <x:f>'_計算月次'!$J$6</x:f>
        <x:v>472.4508339500229</x:v>
      </x:c>
      <x:c r="D42" s="563" t="n">
        <x:f>'_計算月次'!$K$6</x:f>
        <x:v>405</x:v>
      </x:c>
      <x:c r="E42" s="585" t="n">
        <x:f>(1-MAX(MIN('詳細設定'!$D$16,0.999999),0))^(A42-1)</x:f>
        <x:v>1</x:v>
      </x:c>
      <x:c r="F42" s="563" t="n">
        <x:f>MAX(C42*E42,0)</x:f>
        <x:v>472.4508339500229</x:v>
      </x:c>
      <x:c r="G42" s="563" t="n">
        <x:f>MAX(MIN('詳細設定'!$D$15,1),0)</x:f>
        <x:v>0.4</x:v>
      </x:c>
      <x:c r="H42" s="563" t="n">
        <x:f>MAX(MIN(F42*G42,D42),0)</x:f>
        <x:v>188.9803335800092</x:v>
      </x:c>
      <x:c r="I42" s="563" t="n">
        <x:f>MAX(F42-H42,0)</x:f>
        <x:v>283.4705003700137</x:v>
      </x:c>
      <x:c r="J42" s="185" t="n">
        <x:f>MAX('詳細設定'!$D$6,0)*(1+'詳細設定'!$D$21)^(A42-1)</x:f>
        <x:v>36.060535</x:v>
      </x:c>
      <x:c r="K42" s="185" t="n">
        <x:f>IF(A42&lt;=MAX(MIN('詳細設定'!$D$8,20),0),MAX('詳細設定'!$D$7,0),IF(A42&lt;=MAX(MIN('詳細設定'!$D$10,20),0),MAX('詳細設定'!$D$9,0),MAX('詳細設定'!$D$11,0)))</x:f>
        <x:v>24</x:v>
      </x:c>
      <x:c r="L42" s="190" t="n">
        <x:f>H42*J42</x:f>
        <x:v>6814.731933373597</x:v>
      </x:c>
      <x:c r="M42" s="190" t="n">
        <x:f>I42*K42</x:f>
        <x:v>6803.292008880329</x:v>
      </x:c>
      <x:c r="N42" s="190" t="n">
        <x:f>L42+M42</x:f>
        <x:v>13618.023942253927</x:v>
      </x:c>
      <x:c r="O42" s="196" t="n">
        <x:f>F42-H42-I42</x:f>
        <x:v>0</x:v>
      </x:c>
    </x:row>
    <x:row r="43">
      <x:c r="A43" s="20" t="n">
        <x:v>4</x:v>
      </x:c>
      <x:c r="B43" s="20" t="n">
        <x:v>3</x:v>
      </x:c>
      <x:c r="C43" s="563" t="n">
        <x:f>'_計算月次'!$J$7</x:f>
        <x:v>548.3418864753118</x:v>
      </x:c>
      <x:c r="D43" s="563" t="n">
        <x:f>'_計算月次'!$K$7</x:f>
        <x:v>360</x:v>
      </x:c>
      <x:c r="E43" s="585" t="n">
        <x:f>(1-MAX(MIN('詳細設定'!$D$16,0.999999),0))^(A43-1)</x:f>
        <x:v>1</x:v>
      </x:c>
      <x:c r="F43" s="563" t="n">
        <x:f>MAX(C43*E43,0)</x:f>
        <x:v>548.3418864753118</x:v>
      </x:c>
      <x:c r="G43" s="563" t="n">
        <x:f>MAX(MIN('詳細設定'!$D$15,1),0)</x:f>
        <x:v>0.4</x:v>
      </x:c>
      <x:c r="H43" s="563" t="n">
        <x:f>MAX(MIN(F43*G43,D43),0)</x:f>
        <x:v>219.3367545901247</x:v>
      </x:c>
      <x:c r="I43" s="563" t="n">
        <x:f>MAX(F43-H43,0)</x:f>
        <x:v>329.00513188518704</x:v>
      </x:c>
      <x:c r="J43" s="185" t="n">
        <x:f>MAX('詳細設定'!$D$6,0)*(1+'詳細設定'!$D$21)^(A43-1)</x:f>
        <x:v>36.060535</x:v>
      </x:c>
      <x:c r="K43" s="185" t="n">
        <x:f>IF(A43&lt;=MAX(MIN('詳細設定'!$D$8,20),0),MAX('詳細設定'!$D$7,0),IF(A43&lt;=MAX(MIN('詳細設定'!$D$10,20),0),MAX('詳細設定'!$D$9,0),MAX('詳細設定'!$D$11,0)))</x:f>
        <x:v>24</x:v>
      </x:c>
      <x:c r="L43" s="190" t="n">
        <x:f>H43*J43</x:f>
        <x:v>7909.400715683603</x:v>
      </x:c>
      <x:c r="M43" s="190" t="n">
        <x:f>I43*K43</x:f>
        <x:v>7896.123165244489</x:v>
      </x:c>
      <x:c r="N43" s="190" t="n">
        <x:f>L43+M43</x:f>
        <x:v>15805.523880928093</x:v>
      </x:c>
      <x:c r="O43" s="196" t="n">
        <x:f>F43-H43-I43</x:f>
        <x:v>0</x:v>
      </x:c>
    </x:row>
    <x:row r="44">
      <x:c r="A44" s="20" t="n">
        <x:v>4</x:v>
      </x:c>
      <x:c r="B44" s="20" t="n">
        <x:v>4</x:v>
      </x:c>
      <x:c r="C44" s="563" t="n">
        <x:f>'_計算月次'!$J$8</x:f>
        <x:v>548.3944393749554</x:v>
      </x:c>
      <x:c r="D44" s="563" t="n">
        <x:f>'_計算月次'!$K$8</x:f>
        <x:v>315.00000000000006</x:v>
      </x:c>
      <x:c r="E44" s="585" t="n">
        <x:f>(1-MAX(MIN('詳細設定'!$D$16,0.999999),0))^(A44-1)</x:f>
        <x:v>1</x:v>
      </x:c>
      <x:c r="F44" s="563" t="n">
        <x:f>MAX(C44*E44,0)</x:f>
        <x:v>548.3944393749554</x:v>
      </x:c>
      <x:c r="G44" s="563" t="n">
        <x:f>MAX(MIN('詳細設定'!$D$15,1),0)</x:f>
        <x:v>0.4</x:v>
      </x:c>
      <x:c r="H44" s="563" t="n">
        <x:f>MAX(MIN(F44*G44,D44),0)</x:f>
        <x:v>219.35777574998215</x:v>
      </x:c>
      <x:c r="I44" s="563" t="n">
        <x:f>MAX(F44-H44,0)</x:f>
        <x:v>329.03666362497324</x:v>
      </x:c>
      <x:c r="J44" s="185" t="n">
        <x:f>MAX('詳細設定'!$D$6,0)*(1+'詳細設定'!$D$21)^(A44-1)</x:f>
        <x:v>36.060535</x:v>
      </x:c>
      <x:c r="K44" s="185" t="n">
        <x:f>IF(A44&lt;=MAX(MIN('詳細設定'!$D$8,20),0),MAX('詳細設定'!$D$7,0),IF(A44&lt;=MAX(MIN('詳細設定'!$D$10,20),0),MAX('詳細設定'!$D$9,0),MAX('詳細設定'!$D$11,0)))</x:f>
        <x:v>24</x:v>
      </x:c>
      <x:c r="L44" s="190" t="n">
        <x:f>H44*J44</x:f>
        <x:v>7910.158749954383</x:v>
      </x:c>
      <x:c r="M44" s="190" t="n">
        <x:f>I44*K44</x:f>
        <x:v>7896.879926999358</x:v>
      </x:c>
      <x:c r="N44" s="190" t="n">
        <x:f>L44+M44</x:f>
        <x:v>15807.03867695374</x:v>
      </x:c>
      <x:c r="O44" s="196" t="n">
        <x:f>F44-H44-I44</x:f>
        <x:v>0</x:v>
      </x:c>
    </x:row>
    <x:row r="45">
      <x:c r="A45" s="20" t="n">
        <x:v>4</x:v>
      </x:c>
      <x:c r="B45" s="20" t="n">
        <x:v>5</x:v>
      </x:c>
      <x:c r="C45" s="563" t="n">
        <x:f>'_計算月次'!$J$9</x:f>
        <x:v>552.2367574934775</x:v>
      </x:c>
      <x:c r="D45" s="563" t="n">
        <x:f>'_計算月次'!$K$9</x:f>
        <x:v>315.00000000000006</x:v>
      </x:c>
      <x:c r="E45" s="585" t="n">
        <x:f>(1-MAX(MIN('詳細設定'!$D$16,0.999999),0))^(A45-1)</x:f>
        <x:v>1</x:v>
      </x:c>
      <x:c r="F45" s="563" t="n">
        <x:f>MAX(C45*E45,0)</x:f>
        <x:v>552.2367574934775</x:v>
      </x:c>
      <x:c r="G45" s="563" t="n">
        <x:f>MAX(MIN('詳細設定'!$D$15,1),0)</x:f>
        <x:v>0.4</x:v>
      </x:c>
      <x:c r="H45" s="563" t="n">
        <x:f>MAX(MIN(F45*G45,D45),0)</x:f>
        <x:v>220.89470299739102</x:v>
      </x:c>
      <x:c r="I45" s="563" t="n">
        <x:f>MAX(F45-H45,0)</x:f>
        <x:v>331.34205449608646</x:v>
      </x:c>
      <x:c r="J45" s="185" t="n">
        <x:f>MAX('詳細設定'!$D$6,0)*(1+'詳細設定'!$D$21)^(A45-1)</x:f>
        <x:v>36.060535</x:v>
      </x:c>
      <x:c r="K45" s="185" t="n">
        <x:f>IF(A45&lt;=MAX(MIN('詳細設定'!$D$8,20),0),MAX('詳細設定'!$D$7,0),IF(A45&lt;=MAX(MIN('詳細設定'!$D$10,20),0),MAX('詳細設定'!$D$9,0),MAX('詳細設定'!$D$11,0)))</x:f>
        <x:v>24</x:v>
      </x:c>
      <x:c r="L45" s="190" t="n">
        <x:f>H45*J45</x:f>
        <x:v>7965.5811687520245</x:v>
      </x:c>
      <x:c r="M45" s="190" t="n">
        <x:f>I45*K45</x:f>
        <x:v>7952.209307906075</x:v>
      </x:c>
      <x:c r="N45" s="190" t="n">
        <x:f>L45+M45</x:f>
        <x:v>15917.7904766581</x:v>
      </x:c>
      <x:c r="O45" s="196" t="n">
        <x:f>F45-H45-I45</x:f>
        <x:v>0</x:v>
      </x:c>
    </x:row>
    <x:row r="46">
      <x:c r="A46" s="20" t="n">
        <x:v>4</x:v>
      </x:c>
      <x:c r="B46" s="20" t="n">
        <x:v>6</x:v>
      </x:c>
      <x:c r="C46" s="563" t="n">
        <x:f>'_計算月次'!$J$10</x:f>
        <x:v>448.7994857612148</x:v>
      </x:c>
      <x:c r="D46" s="563" t="n">
        <x:f>'_計算月次'!$K$10</x:f>
        <x:v>360</x:v>
      </x:c>
      <x:c r="E46" s="585" t="n">
        <x:f>(1-MAX(MIN('詳細設定'!$D$16,0.999999),0))^(A46-1)</x:f>
        <x:v>1</x:v>
      </x:c>
      <x:c r="F46" s="563" t="n">
        <x:f>MAX(C46*E46,0)</x:f>
        <x:v>448.7994857612148</x:v>
      </x:c>
      <x:c r="G46" s="563" t="n">
        <x:f>MAX(MIN('詳細設定'!$D$15,1),0)</x:f>
        <x:v>0.4</x:v>
      </x:c>
      <x:c r="H46" s="563" t="n">
        <x:f>MAX(MIN(F46*G46,D46),0)</x:f>
        <x:v>179.5197943044859</x:v>
      </x:c>
      <x:c r="I46" s="563" t="n">
        <x:f>MAX(F46-H46,0)</x:f>
        <x:v>269.27969145672887</x:v>
      </x:c>
      <x:c r="J46" s="185" t="n">
        <x:f>MAX('詳細設定'!$D$6,0)*(1+'詳細設定'!$D$21)^(A46-1)</x:f>
        <x:v>36.060535</x:v>
      </x:c>
      <x:c r="K46" s="185" t="n">
        <x:f>IF(A46&lt;=MAX(MIN('詳細設定'!$D$8,20),0),MAX('詳細設定'!$D$7,0),IF(A46&lt;=MAX(MIN('詳細設定'!$D$10,20),0),MAX('詳細設定'!$D$9,0),MAX('詳細設定'!$D$11,0)))</x:f>
        <x:v>24</x:v>
      </x:c>
      <x:c r="L46" s="190" t="n">
        <x:f>H46*J46</x:f>
        <x:v>6473.579825709715</x:v>
      </x:c>
      <x:c r="M46" s="190" t="n">
        <x:f>I46*K46</x:f>
        <x:v>6462.712594961493</x:v>
      </x:c>
      <x:c r="N46" s="190" t="n">
        <x:f>L46+M46</x:f>
        <x:v>12936.292420671209</x:v>
      </x:c>
      <x:c r="O46" s="196" t="n">
        <x:f>F46-H46-I46</x:f>
        <x:v>0</x:v>
      </x:c>
    </x:row>
    <x:row r="47">
      <x:c r="A47" s="20" t="n">
        <x:v>4</x:v>
      </x:c>
      <x:c r="B47" s="20" t="n">
        <x:v>7</x:v>
      </x:c>
      <x:c r="C47" s="563" t="n">
        <x:f>'_計算月次'!$J$11</x:f>
        <x:v>476.0181638067866</x:v>
      </x:c>
      <x:c r="D47" s="563" t="n">
        <x:f>'_計算月次'!$K$11</x:f>
        <x:v>405</x:v>
      </x:c>
      <x:c r="E47" s="585" t="n">
        <x:f>(1-MAX(MIN('詳細設定'!$D$16,0.999999),0))^(A47-1)</x:f>
        <x:v>1</x:v>
      </x:c>
      <x:c r="F47" s="563" t="n">
        <x:f>MAX(C47*E47,0)</x:f>
        <x:v>476.0181638067866</x:v>
      </x:c>
      <x:c r="G47" s="563" t="n">
        <x:f>MAX(MIN('詳細設定'!$D$15,1),0)</x:f>
        <x:v>0.4</x:v>
      </x:c>
      <x:c r="H47" s="563" t="n">
        <x:f>MAX(MIN(F47*G47,D47),0)</x:f>
        <x:v>190.40726552271465</x:v>
      </x:c>
      <x:c r="I47" s="563" t="n">
        <x:f>MAX(F47-H47,0)</x:f>
        <x:v>285.61089828407194</x:v>
      </x:c>
      <x:c r="J47" s="185" t="n">
        <x:f>MAX('詳細設定'!$D$6,0)*(1+'詳細設定'!$D$21)^(A47-1)</x:f>
        <x:v>36.060535</x:v>
      </x:c>
      <x:c r="K47" s="185" t="n">
        <x:f>IF(A47&lt;=MAX(MIN('詳細設定'!$D$8,20),0),MAX('詳細設定'!$D$7,0),IF(A47&lt;=MAX(MIN('詳細設定'!$D$10,20),0),MAX('詳細設定'!$D$9,0),MAX('詳細設定'!$D$11,0)))</x:f>
        <x:v>24</x:v>
      </x:c>
      <x:c r="L47" s="190" t="n">
        <x:f>H47*J47</x:f>
        <x:v>6866.187862636145</x:v>
      </x:c>
      <x:c r="M47" s="190" t="n">
        <x:f>I47*K47</x:f>
        <x:v>6854.6615588177265</x:v>
      </x:c>
      <x:c r="N47" s="190" t="n">
        <x:f>L47+M47</x:f>
        <x:v>13720.849421453871</x:v>
      </x:c>
      <x:c r="O47" s="196" t="n">
        <x:f>F47-H47-I47</x:f>
        <x:v>0</x:v>
      </x:c>
    </x:row>
    <x:row r="48">
      <x:c r="A48" s="20" t="n">
        <x:v>4</x:v>
      </x:c>
      <x:c r="B48" s="20" t="n">
        <x:v>8</x:v>
      </x:c>
      <x:c r="C48" s="563" t="n">
        <x:f>'_計算月次'!$J$12</x:f>
        <x:v>528.6548067323699</x:v>
      </x:c>
      <x:c r="D48" s="563" t="n">
        <x:f>'_計算月次'!$K$12</x:f>
        <x:v>450</x:v>
      </x:c>
      <x:c r="E48" s="585" t="n">
        <x:f>(1-MAX(MIN('詳細設定'!$D$16,0.999999),0))^(A48-1)</x:f>
        <x:v>1</x:v>
      </x:c>
      <x:c r="F48" s="563" t="n">
        <x:f>MAX(C48*E48,0)</x:f>
        <x:v>528.6548067323699</x:v>
      </x:c>
      <x:c r="G48" s="563" t="n">
        <x:f>MAX(MIN('詳細設定'!$D$15,1),0)</x:f>
        <x:v>0.4</x:v>
      </x:c>
      <x:c r="H48" s="563" t="n">
        <x:f>MAX(MIN(F48*G48,D48),0)</x:f>
        <x:v>211.46192269294798</x:v>
      </x:c>
      <x:c r="I48" s="563" t="n">
        <x:f>MAX(F48-H48,0)</x:f>
        <x:v>317.192884039422</x:v>
      </x:c>
      <x:c r="J48" s="185" t="n">
        <x:f>MAX('詳細設定'!$D$6,0)*(1+'詳細設定'!$D$21)^(A48-1)</x:f>
        <x:v>36.060535</x:v>
      </x:c>
      <x:c r="K48" s="185" t="n">
        <x:f>IF(A48&lt;=MAX(MIN('詳細設定'!$D$8,20),0),MAX('詳細設定'!$D$7,0),IF(A48&lt;=MAX(MIN('詳細設定'!$D$10,20),0),MAX('詳細設定'!$D$9,0),MAX('詳細設定'!$D$11,0)))</x:f>
        <x:v>24</x:v>
      </x:c>
      <x:c r="L48" s="190" t="n">
        <x:f>H48*J48</x:f>
        <x:v>7625.430064436345</x:v>
      </x:c>
      <x:c r="M48" s="190" t="n">
        <x:f>I48*K48</x:f>
        <x:v>7612.629216946128</x:v>
      </x:c>
      <x:c r="N48" s="190" t="n">
        <x:f>L48+M48</x:f>
        <x:v>15238.059281382473</x:v>
      </x:c>
      <x:c r="O48" s="196" t="n">
        <x:f>F48-H48-I48</x:f>
        <x:v>0</x:v>
      </x:c>
    </x:row>
    <x:row r="49">
      <x:c r="A49" s="20" t="n">
        <x:v>4</x:v>
      </x:c>
      <x:c r="B49" s="20" t="n">
        <x:v>9</x:v>
      </x:c>
      <x:c r="C49" s="563" t="n">
        <x:f>'_計算月次'!$J$13</x:f>
        <x:v>436.37734765103465</x:v>
      </x:c>
      <x:c r="D49" s="563" t="n">
        <x:f>'_計算月次'!$K$13</x:f>
        <x:v>360</x:v>
      </x:c>
      <x:c r="E49" s="585" t="n">
        <x:f>(1-MAX(MIN('詳細設定'!$D$16,0.999999),0))^(A49-1)</x:f>
        <x:v>1</x:v>
      </x:c>
      <x:c r="F49" s="563" t="n">
        <x:f>MAX(C49*E49,0)</x:f>
        <x:v>436.37734765103465</x:v>
      </x:c>
      <x:c r="G49" s="563" t="n">
        <x:f>MAX(MIN('詳細設定'!$D$15,1),0)</x:f>
        <x:v>0.4</x:v>
      </x:c>
      <x:c r="H49" s="563" t="n">
        <x:f>MAX(MIN(F49*G49,D49),0)</x:f>
        <x:v>174.55093906041387</x:v>
      </x:c>
      <x:c r="I49" s="563" t="n">
        <x:f>MAX(F49-H49,0)</x:f>
        <x:v>261.82640859062076</x:v>
      </x:c>
      <x:c r="J49" s="185" t="n">
        <x:f>MAX('詳細設定'!$D$6,0)*(1+'詳細設定'!$D$21)^(A49-1)</x:f>
        <x:v>36.060535</x:v>
      </x:c>
      <x:c r="K49" s="185" t="n">
        <x:f>IF(A49&lt;=MAX(MIN('詳細設定'!$D$8,20),0),MAX('詳細設定'!$D$7,0),IF(A49&lt;=MAX(MIN('詳細設定'!$D$10,20),0),MAX('詳細設定'!$D$9,0),MAX('詳細設定'!$D$11,0)))</x:f>
        <x:v>24</x:v>
      </x:c>
      <x:c r="L49" s="190" t="n">
        <x:f>H49*J49</x:f>
        <x:v>6294.400247270922</x:v>
      </x:c>
      <x:c r="M49" s="190" t="n">
        <x:f>I49*K49</x:f>
        <x:v>6283.833806174898</x:v>
      </x:c>
      <x:c r="N49" s="190" t="n">
        <x:f>L49+M49</x:f>
        <x:v>12578.23405344582</x:v>
      </x:c>
      <x:c r="O49" s="196" t="n">
        <x:f>F49-H49-I49</x:f>
        <x:v>0</x:v>
      </x:c>
    </x:row>
    <x:row r="50">
      <x:c r="A50" s="20" t="n">
        <x:v>4</x:v>
      </x:c>
      <x:c r="B50" s="20" t="n">
        <x:v>10</x:v>
      </x:c>
      <x:c r="C50" s="563" t="n">
        <x:f>'_計算月次'!$J$14</x:f>
        <x:v>408.8269849869007</x:v>
      </x:c>
      <x:c r="D50" s="563" t="n">
        <x:f>'_計算月次'!$K$14</x:f>
        <x:v>315.00000000000006</x:v>
      </x:c>
      <x:c r="E50" s="585" t="n">
        <x:f>(1-MAX(MIN('詳細設定'!$D$16,0.999999),0))^(A50-1)</x:f>
        <x:v>1</x:v>
      </x:c>
      <x:c r="F50" s="563" t="n">
        <x:f>MAX(C50*E50,0)</x:f>
        <x:v>408.8269849869007</x:v>
      </x:c>
      <x:c r="G50" s="563" t="n">
        <x:f>MAX(MIN('詳細設定'!$D$15,1),0)</x:f>
        <x:v>0.4</x:v>
      </x:c>
      <x:c r="H50" s="563" t="n">
        <x:f>MAX(MIN(F50*G50,D50),0)</x:f>
        <x:v>163.5307939947603</x:v>
      </x:c>
      <x:c r="I50" s="563" t="n">
        <x:f>MAX(F50-H50,0)</x:f>
        <x:v>245.2961909921404</x:v>
      </x:c>
      <x:c r="J50" s="185" t="n">
        <x:f>MAX('詳細設定'!$D$6,0)*(1+'詳細設定'!$D$21)^(A50-1)</x:f>
        <x:v>36.060535</x:v>
      </x:c>
      <x:c r="K50" s="185" t="n">
        <x:f>IF(A50&lt;=MAX(MIN('詳細設定'!$D$8,20),0),MAX('詳細設定'!$D$7,0),IF(A50&lt;=MAX(MIN('詳細設定'!$D$10,20),0),MAX('詳細設定'!$D$9,0),MAX('詳細設定'!$D$11,0)))</x:f>
        <x:v>24</x:v>
      </x:c>
      <x:c r="L50" s="190" t="n">
        <x:f>H50*J50</x:f>
        <x:v>5897.007920425844</x:v>
      </x:c>
      <x:c r="M50" s="190" t="n">
        <x:f>I50*K50</x:f>
        <x:v>5887.1085838113695</x:v>
      </x:c>
      <x:c r="N50" s="190" t="n">
        <x:f>L50+M50</x:f>
        <x:v>11784.116504237212</x:v>
      </x:c>
      <x:c r="O50" s="196" t="n">
        <x:f>F50-H50-I50</x:f>
        <x:v>0</x:v>
      </x:c>
    </x:row>
    <x:row r="51">
      <x:c r="A51" s="20" t="n">
        <x:v>4</x:v>
      </x:c>
      <x:c r="B51" s="20" t="n">
        <x:v>11</x:v>
      </x:c>
      <x:c r="C51" s="563" t="n">
        <x:f>'_計算月次'!$J$15</x:f>
        <x:v>398.45169764745054</x:v>
      </x:c>
      <x:c r="D51" s="563" t="n">
        <x:f>'_計算月次'!$K$15</x:f>
        <x:v>360</x:v>
      </x:c>
      <x:c r="E51" s="585" t="n">
        <x:f>(1-MAX(MIN('詳細設定'!$D$16,0.999999),0))^(A51-1)</x:f>
        <x:v>1</x:v>
      </x:c>
      <x:c r="F51" s="563" t="n">
        <x:f>MAX(C51*E51,0)</x:f>
        <x:v>398.45169764745054</x:v>
      </x:c>
      <x:c r="G51" s="563" t="n">
        <x:f>MAX(MIN('詳細設定'!$D$15,1),0)</x:f>
        <x:v>0.4</x:v>
      </x:c>
      <x:c r="H51" s="563" t="n">
        <x:f>MAX(MIN(F51*G51,D51),0)</x:f>
        <x:v>159.38067905898023</x:v>
      </x:c>
      <x:c r="I51" s="563" t="n">
        <x:f>MAX(F51-H51,0)</x:f>
        <x:v>239.0710185884703</x:v>
      </x:c>
      <x:c r="J51" s="185" t="n">
        <x:f>MAX('詳細設定'!$D$6,0)*(1+'詳細設定'!$D$21)^(A51-1)</x:f>
        <x:v>36.060535</x:v>
      </x:c>
      <x:c r="K51" s="185" t="n">
        <x:f>IF(A51&lt;=MAX(MIN('詳細設定'!$D$8,20),0),MAX('詳細設定'!$D$7,0),IF(A51&lt;=MAX(MIN('詳細設定'!$D$10,20),0),MAX('詳細設定'!$D$9,0),MAX('詳細設定'!$D$11,0)))</x:f>
        <x:v>24</x:v>
      </x:c>
      <x:c r="L51" s="190" t="n">
        <x:f>H51*J51</x:f>
        <x:v>5747.352555530124</x:v>
      </x:c>
      <x:c r="M51" s="190" t="n">
        <x:f>I51*K51</x:f>
        <x:v>5737.704446123287</x:v>
      </x:c>
      <x:c r="N51" s="190" t="n">
        <x:f>L51+M51</x:f>
        <x:v>11485.057001653411</x:v>
      </x:c>
      <x:c r="O51" s="196" t="n">
        <x:f>F51-H51-I51</x:f>
        <x:v>0</x:v>
      </x:c>
    </x:row>
    <x:row r="52">
      <x:c r="A52" s="20" t="n">
        <x:v>4</x:v>
      </x:c>
      <x:c r="B52" s="20" t="n">
        <x:v>12</x:v>
      </x:c>
      <x:c r="C52" s="563" t="n">
        <x:f>'_計算月次'!$J$16</x:f>
        <x:v>443.97248688000184</x:v>
      </x:c>
      <x:c r="D52" s="563" t="n">
        <x:f>'_計算月次'!$K$16</x:f>
        <x:v>405</x:v>
      </x:c>
      <x:c r="E52" s="585" t="n">
        <x:f>(1-MAX(MIN('詳細設定'!$D$16,0.999999),0))^(A52-1)</x:f>
        <x:v>1</x:v>
      </x:c>
      <x:c r="F52" s="563" t="n">
        <x:f>MAX(C52*E52,0)</x:f>
        <x:v>443.97248688000184</x:v>
      </x:c>
      <x:c r="G52" s="563" t="n">
        <x:f>MAX(MIN('詳細設定'!$D$15,1),0)</x:f>
        <x:v>0.4</x:v>
      </x:c>
      <x:c r="H52" s="563" t="n">
        <x:f>MAX(MIN(F52*G52,D52),0)</x:f>
        <x:v>177.58899475200076</x:v>
      </x:c>
      <x:c r="I52" s="563" t="n">
        <x:f>MAX(F52-H52,0)</x:f>
        <x:v>266.3834921280011</x:v>
      </x:c>
      <x:c r="J52" s="185" t="n">
        <x:f>MAX('詳細設定'!$D$6,0)*(1+'詳細設定'!$D$21)^(A52-1)</x:f>
        <x:v>36.060535</x:v>
      </x:c>
      <x:c r="K52" s="185" t="n">
        <x:f>IF(A52&lt;=MAX(MIN('詳細設定'!$D$8,20),0),MAX('詳細設定'!$D$7,0),IF(A52&lt;=MAX(MIN('詳細設定'!$D$10,20),0),MAX('詳細設定'!$D$9,0),MAX('詳細設定'!$D$11,0)))</x:f>
        <x:v>24</x:v>
      </x:c>
      <x:c r="L52" s="190" t="n">
        <x:f>H52*J52</x:f>
        <x:v>6403.95416086934</x:v>
      </x:c>
      <x:c r="M52" s="190" t="n">
        <x:f>I52*K52</x:f>
        <x:v>6393.203811072026</x:v>
      </x:c>
      <x:c r="N52" s="190" t="n">
        <x:f>L52+M52</x:f>
        <x:v>12797.157971941366</x:v>
      </x:c>
      <x:c r="O52" s="196" t="n">
        <x:f>F52-H52-I52</x:f>
        <x:v>0</x:v>
      </x:c>
    </x:row>
    <x:row r="53">
      <x:c r="A53" s="20" t="n">
        <x:v>5</x:v>
      </x:c>
      <x:c r="B53" s="20" t="n">
        <x:v>1</x:v>
      </x:c>
      <x:c r="C53" s="563" t="n">
        <x:f>'_計算月次'!$J$5</x:f>
        <x:v>502.4147595742038</x:v>
      </x:c>
      <x:c r="D53" s="563" t="n">
        <x:f>'_計算月次'!$K$5</x:f>
        <x:v>450</x:v>
      </x:c>
      <x:c r="E53" s="585" t="n">
        <x:f>(1-MAX(MIN('詳細設定'!$D$16,0.999999),0))^(A53-1)</x:f>
        <x:v>1</x:v>
      </x:c>
      <x:c r="F53" s="563" t="n">
        <x:f>MAX(C53*E53,0)</x:f>
        <x:v>502.4147595742038</x:v>
      </x:c>
      <x:c r="G53" s="563" t="n">
        <x:f>MAX(MIN('詳細設定'!$D$15,1),0)</x:f>
        <x:v>0.4</x:v>
      </x:c>
      <x:c r="H53" s="563" t="n">
        <x:f>MAX(MIN(F53*G53,D53),0)</x:f>
        <x:v>200.96590382968154</x:v>
      </x:c>
      <x:c r="I53" s="563" t="n">
        <x:f>MAX(F53-H53,0)</x:f>
        <x:v>301.44885574452223</x:v>
      </x:c>
      <x:c r="J53" s="185" t="n">
        <x:f>MAX('詳細設定'!$D$6,0)*(1+'詳細設定'!$D$21)^(A53-1)</x:f>
        <x:v>36.42114035</x:v>
      </x:c>
      <x:c r="K53" s="185" t="n">
        <x:f>IF(A53&lt;=MAX(MIN('詳細設定'!$D$8,20),0),MAX('詳細設定'!$D$7,0),IF(A53&lt;=MAX(MIN('詳細設定'!$D$10,20),0),MAX('詳細設定'!$D$9,0),MAX('詳細設定'!$D$11,0)))</x:f>
        <x:v>8.3</x:v>
      </x:c>
      <x:c r="L53" s="190" t="n">
        <x:f>H53*J53</x:f>
        <x:v>7319.407388945434</x:v>
      </x:c>
      <x:c r="M53" s="190" t="n">
        <x:f>I53*K53</x:f>
        <x:v>2502.025502679535</x:v>
      </x:c>
      <x:c r="N53" s="190" t="n">
        <x:f>L53+M53</x:f>
        <x:v>9821.432891624969</x:v>
      </x:c>
      <x:c r="O53" s="196" t="n">
        <x:f>F53-H53-I53</x:f>
        <x:v>0</x:v>
      </x:c>
    </x:row>
    <x:row r="54">
      <x:c r="A54" s="20" t="n">
        <x:v>5</x:v>
      </x:c>
      <x:c r="B54" s="20" t="n">
        <x:v>2</x:v>
      </x:c>
      <x:c r="C54" s="563" t="n">
        <x:f>'_計算月次'!$J$6</x:f>
        <x:v>472.4508339500229</x:v>
      </x:c>
      <x:c r="D54" s="563" t="n">
        <x:f>'_計算月次'!$K$6</x:f>
        <x:v>405</x:v>
      </x:c>
      <x:c r="E54" s="585" t="n">
        <x:f>(1-MAX(MIN('詳細設定'!$D$16,0.999999),0))^(A54-1)</x:f>
        <x:v>1</x:v>
      </x:c>
      <x:c r="F54" s="563" t="n">
        <x:f>MAX(C54*E54,0)</x:f>
        <x:v>472.4508339500229</x:v>
      </x:c>
      <x:c r="G54" s="563" t="n">
        <x:f>MAX(MIN('詳細設定'!$D$15,1),0)</x:f>
        <x:v>0.4</x:v>
      </x:c>
      <x:c r="H54" s="563" t="n">
        <x:f>MAX(MIN(F54*G54,D54),0)</x:f>
        <x:v>188.9803335800092</x:v>
      </x:c>
      <x:c r="I54" s="563" t="n">
        <x:f>MAX(F54-H54,0)</x:f>
        <x:v>283.4705003700137</x:v>
      </x:c>
      <x:c r="J54" s="185" t="n">
        <x:f>MAX('詳細設定'!$D$6,0)*(1+'詳細設定'!$D$21)^(A54-1)</x:f>
        <x:v>36.42114035</x:v>
      </x:c>
      <x:c r="K54" s="185" t="n">
        <x:f>IF(A54&lt;=MAX(MIN('詳細設定'!$D$8,20),0),MAX('詳細設定'!$D$7,0),IF(A54&lt;=MAX(MIN('詳細設定'!$D$10,20),0),MAX('詳細設定'!$D$9,0),MAX('詳細設定'!$D$11,0)))</x:f>
        <x:v>8.3</x:v>
      </x:c>
      <x:c r="L54" s="190" t="n">
        <x:f>H54*J54</x:f>
        <x:v>6882.879252707333</x:v>
      </x:c>
      <x:c r="M54" s="190" t="n">
        <x:f>I54*K54</x:f>
        <x:v>2352.805153071114</x:v>
      </x:c>
      <x:c r="N54" s="190" t="n">
        <x:f>L54+M54</x:f>
        <x:v>9235.684405778447</x:v>
      </x:c>
      <x:c r="O54" s="196" t="n">
        <x:f>F54-H54-I54</x:f>
        <x:v>0</x:v>
      </x:c>
    </x:row>
    <x:row r="55">
      <x:c r="A55" s="20" t="n">
        <x:v>5</x:v>
      </x:c>
      <x:c r="B55" s="20" t="n">
        <x:v>3</x:v>
      </x:c>
      <x:c r="C55" s="563" t="n">
        <x:f>'_計算月次'!$J$7</x:f>
        <x:v>548.3418864753118</x:v>
      </x:c>
      <x:c r="D55" s="563" t="n">
        <x:f>'_計算月次'!$K$7</x:f>
        <x:v>360</x:v>
      </x:c>
      <x:c r="E55" s="585" t="n">
        <x:f>(1-MAX(MIN('詳細設定'!$D$16,0.999999),0))^(A55-1)</x:f>
        <x:v>1</x:v>
      </x:c>
      <x:c r="F55" s="563" t="n">
        <x:f>MAX(C55*E55,0)</x:f>
        <x:v>548.3418864753118</x:v>
      </x:c>
      <x:c r="G55" s="563" t="n">
        <x:f>MAX(MIN('詳細設定'!$D$15,1),0)</x:f>
        <x:v>0.4</x:v>
      </x:c>
      <x:c r="H55" s="563" t="n">
        <x:f>MAX(MIN(F55*G55,D55),0)</x:f>
        <x:v>219.3367545901247</x:v>
      </x:c>
      <x:c r="I55" s="563" t="n">
        <x:f>MAX(F55-H55,0)</x:f>
        <x:v>329.00513188518704</x:v>
      </x:c>
      <x:c r="J55" s="185" t="n">
        <x:f>MAX('詳細設定'!$D$6,0)*(1+'詳細設定'!$D$21)^(A55-1)</x:f>
        <x:v>36.42114035</x:v>
      </x:c>
      <x:c r="K55" s="185" t="n">
        <x:f>IF(A55&lt;=MAX(MIN('詳細設定'!$D$8,20),0),MAX('詳細設定'!$D$7,0),IF(A55&lt;=MAX(MIN('詳細設定'!$D$10,20),0),MAX('詳細設定'!$D$9,0),MAX('詳細設定'!$D$11,0)))</x:f>
        <x:v>8.3</x:v>
      </x:c>
      <x:c r="L55" s="190" t="n">
        <x:f>H55*J55</x:f>
        <x:v>7988.494722840439</x:v>
      </x:c>
      <x:c r="M55" s="190" t="n">
        <x:f>I55*K55</x:f>
        <x:v>2730.7425946470526</x:v>
      </x:c>
      <x:c r="N55" s="190" t="n">
        <x:f>L55+M55</x:f>
        <x:v>10719.237317487492</x:v>
      </x:c>
      <x:c r="O55" s="196" t="n">
        <x:f>F55-H55-I55</x:f>
        <x:v>0</x:v>
      </x:c>
    </x:row>
    <x:row r="56">
      <x:c r="A56" s="20" t="n">
        <x:v>5</x:v>
      </x:c>
      <x:c r="B56" s="20" t="n">
        <x:v>4</x:v>
      </x:c>
      <x:c r="C56" s="563" t="n">
        <x:f>'_計算月次'!$J$8</x:f>
        <x:v>548.3944393749554</x:v>
      </x:c>
      <x:c r="D56" s="563" t="n">
        <x:f>'_計算月次'!$K$8</x:f>
        <x:v>315.00000000000006</x:v>
      </x:c>
      <x:c r="E56" s="585" t="n">
        <x:f>(1-MAX(MIN('詳細設定'!$D$16,0.999999),0))^(A56-1)</x:f>
        <x:v>1</x:v>
      </x:c>
      <x:c r="F56" s="563" t="n">
        <x:f>MAX(C56*E56,0)</x:f>
        <x:v>548.3944393749554</x:v>
      </x:c>
      <x:c r="G56" s="563" t="n">
        <x:f>MAX(MIN('詳細設定'!$D$15,1),0)</x:f>
        <x:v>0.4</x:v>
      </x:c>
      <x:c r="H56" s="563" t="n">
        <x:f>MAX(MIN(F56*G56,D56),0)</x:f>
        <x:v>219.35777574998215</x:v>
      </x:c>
      <x:c r="I56" s="563" t="n">
        <x:f>MAX(F56-H56,0)</x:f>
        <x:v>329.03666362497324</x:v>
      </x:c>
      <x:c r="J56" s="185" t="n">
        <x:f>MAX('詳細設定'!$D$6,0)*(1+'詳細設定'!$D$21)^(A56-1)</x:f>
        <x:v>36.42114035</x:v>
      </x:c>
      <x:c r="K56" s="185" t="n">
        <x:f>IF(A56&lt;=MAX(MIN('詳細設定'!$D$8,20),0),MAX('詳細設定'!$D$7,0),IF(A56&lt;=MAX(MIN('詳細設定'!$D$10,20),0),MAX('詳細設定'!$D$9,0),MAX('詳細設定'!$D$11,0)))</x:f>
        <x:v>8.3</x:v>
      </x:c>
      <x:c r="L56" s="190" t="n">
        <x:f>H56*J56</x:f>
        <x:v>7989.260337453927</x:v>
      </x:c>
      <x:c r="M56" s="190" t="n">
        <x:f>I56*K56</x:f>
        <x:v>2731.0043080872783</x:v>
      </x:c>
      <x:c r="N56" s="190" t="n">
        <x:f>L56+M56</x:f>
        <x:v>10720.264645541205</x:v>
      </x:c>
      <x:c r="O56" s="196" t="n">
        <x:f>F56-H56-I56</x:f>
        <x:v>0</x:v>
      </x:c>
    </x:row>
    <x:row r="57">
      <x:c r="A57" s="20" t="n">
        <x:v>5</x:v>
      </x:c>
      <x:c r="B57" s="20" t="n">
        <x:v>5</x:v>
      </x:c>
      <x:c r="C57" s="563" t="n">
        <x:f>'_計算月次'!$J$9</x:f>
        <x:v>552.2367574934775</x:v>
      </x:c>
      <x:c r="D57" s="563" t="n">
        <x:f>'_計算月次'!$K$9</x:f>
        <x:v>315.00000000000006</x:v>
      </x:c>
      <x:c r="E57" s="585" t="n">
        <x:f>(1-MAX(MIN('詳細設定'!$D$16,0.999999),0))^(A57-1)</x:f>
        <x:v>1</x:v>
      </x:c>
      <x:c r="F57" s="563" t="n">
        <x:f>MAX(C57*E57,0)</x:f>
        <x:v>552.2367574934775</x:v>
      </x:c>
      <x:c r="G57" s="563" t="n">
        <x:f>MAX(MIN('詳細設定'!$D$15,1),0)</x:f>
        <x:v>0.4</x:v>
      </x:c>
      <x:c r="H57" s="563" t="n">
        <x:f>MAX(MIN(F57*G57,D57),0)</x:f>
        <x:v>220.89470299739102</x:v>
      </x:c>
      <x:c r="I57" s="563" t="n">
        <x:f>MAX(F57-H57,0)</x:f>
        <x:v>331.34205449608646</x:v>
      </x:c>
      <x:c r="J57" s="185" t="n">
        <x:f>MAX('詳細設定'!$D$6,0)*(1+'詳細設定'!$D$21)^(A57-1)</x:f>
        <x:v>36.42114035</x:v>
      </x:c>
      <x:c r="K57" s="185" t="n">
        <x:f>IF(A57&lt;=MAX(MIN('詳細設定'!$D$8,20),0),MAX('詳細設定'!$D$7,0),IF(A57&lt;=MAX(MIN('詳細設定'!$D$10,20),0),MAX('詳細設定'!$D$9,0),MAX('詳細設定'!$D$11,0)))</x:f>
        <x:v>8.3</x:v>
      </x:c>
      <x:c r="L57" s="190" t="n">
        <x:f>H57*J57</x:f>
        <x:v>8045.236980439545</x:v>
      </x:c>
      <x:c r="M57" s="190" t="n">
        <x:f>I57*K57</x:f>
        <x:v>2750.139052317518</x:v>
      </x:c>
      <x:c r="N57" s="190" t="n">
        <x:f>L57+M57</x:f>
        <x:v>10795.376032757064</x:v>
      </x:c>
      <x:c r="O57" s="196" t="n">
        <x:f>F57-H57-I57</x:f>
        <x:v>0</x:v>
      </x:c>
    </x:row>
    <x:row r="58">
      <x:c r="A58" s="20" t="n">
        <x:v>5</x:v>
      </x:c>
      <x:c r="B58" s="20" t="n">
        <x:v>6</x:v>
      </x:c>
      <x:c r="C58" s="563" t="n">
        <x:f>'_計算月次'!$J$10</x:f>
        <x:v>448.7994857612148</x:v>
      </x:c>
      <x:c r="D58" s="563" t="n">
        <x:f>'_計算月次'!$K$10</x:f>
        <x:v>360</x:v>
      </x:c>
      <x:c r="E58" s="585" t="n">
        <x:f>(1-MAX(MIN('詳細設定'!$D$16,0.999999),0))^(A58-1)</x:f>
        <x:v>1</x:v>
      </x:c>
      <x:c r="F58" s="563" t="n">
        <x:f>MAX(C58*E58,0)</x:f>
        <x:v>448.7994857612148</x:v>
      </x:c>
      <x:c r="G58" s="563" t="n">
        <x:f>MAX(MIN('詳細設定'!$D$15,1),0)</x:f>
        <x:v>0.4</x:v>
      </x:c>
      <x:c r="H58" s="563" t="n">
        <x:f>MAX(MIN(F58*G58,D58),0)</x:f>
        <x:v>179.5197943044859</x:v>
      </x:c>
      <x:c r="I58" s="563" t="n">
        <x:f>MAX(F58-H58,0)</x:f>
        <x:v>269.27969145672887</x:v>
      </x:c>
      <x:c r="J58" s="185" t="n">
        <x:f>MAX('詳細設定'!$D$6,0)*(1+'詳細設定'!$D$21)^(A58-1)</x:f>
        <x:v>36.42114035</x:v>
      </x:c>
      <x:c r="K58" s="185" t="n">
        <x:f>IF(A58&lt;=MAX(MIN('詳細設定'!$D$8,20),0),MAX('詳細設定'!$D$7,0),IF(A58&lt;=MAX(MIN('詳細設定'!$D$10,20),0),MAX('詳細設定'!$D$9,0),MAX('詳細設定'!$D$11,0)))</x:f>
        <x:v>8.3</x:v>
      </x:c>
      <x:c r="L58" s="190" t="n">
        <x:f>H58*J58</x:f>
        <x:v>6538.315623966812</x:v>
      </x:c>
      <x:c r="M58" s="190" t="n">
        <x:f>I58*K58</x:f>
        <x:v>2235.02143909085</x:v>
      </x:c>
      <x:c r="N58" s="190" t="n">
        <x:f>L58+M58</x:f>
        <x:v>8773.337063057663</x:v>
      </x:c>
      <x:c r="O58" s="196" t="n">
        <x:f>F58-H58-I58</x:f>
        <x:v>0</x:v>
      </x:c>
    </x:row>
    <x:row r="59">
      <x:c r="A59" s="20" t="n">
        <x:v>5</x:v>
      </x:c>
      <x:c r="B59" s="20" t="n">
        <x:v>7</x:v>
      </x:c>
      <x:c r="C59" s="563" t="n">
        <x:f>'_計算月次'!$J$11</x:f>
        <x:v>476.0181638067866</x:v>
      </x:c>
      <x:c r="D59" s="563" t="n">
        <x:f>'_計算月次'!$K$11</x:f>
        <x:v>405</x:v>
      </x:c>
      <x:c r="E59" s="585" t="n">
        <x:f>(1-MAX(MIN('詳細設定'!$D$16,0.999999),0))^(A59-1)</x:f>
        <x:v>1</x:v>
      </x:c>
      <x:c r="F59" s="563" t="n">
        <x:f>MAX(C59*E59,0)</x:f>
        <x:v>476.0181638067866</x:v>
      </x:c>
      <x:c r="G59" s="563" t="n">
        <x:f>MAX(MIN('詳細設定'!$D$15,1),0)</x:f>
        <x:v>0.4</x:v>
      </x:c>
      <x:c r="H59" s="563" t="n">
        <x:f>MAX(MIN(F59*G59,D59),0)</x:f>
        <x:v>190.40726552271465</x:v>
      </x:c>
      <x:c r="I59" s="563" t="n">
        <x:f>MAX(F59-H59,0)</x:f>
        <x:v>285.61089828407194</x:v>
      </x:c>
      <x:c r="J59" s="185" t="n">
        <x:f>MAX('詳細設定'!$D$6,0)*(1+'詳細設定'!$D$21)^(A59-1)</x:f>
        <x:v>36.42114035</x:v>
      </x:c>
      <x:c r="K59" s="185" t="n">
        <x:f>IF(A59&lt;=MAX(MIN('詳細設定'!$D$8,20),0),MAX('詳細設定'!$D$7,0),IF(A59&lt;=MAX(MIN('詳細設定'!$D$10,20),0),MAX('詳細設定'!$D$9,0),MAX('詳細設定'!$D$11,0)))</x:f>
        <x:v>8.3</x:v>
      </x:c>
      <x:c r="L59" s="190" t="n">
        <x:f>H59*J59</x:f>
        <x:v>6934.8497412625065</x:v>
      </x:c>
      <x:c r="M59" s="190" t="n">
        <x:f>I59*K59</x:f>
        <x:v>2370.5704557577974</x:v>
      </x:c>
      <x:c r="N59" s="190" t="n">
        <x:f>L59+M59</x:f>
        <x:v>9305.420197020303</x:v>
      </x:c>
      <x:c r="O59" s="196" t="n">
        <x:f>F59-H59-I59</x:f>
        <x:v>0</x:v>
      </x:c>
    </x:row>
    <x:row r="60">
      <x:c r="A60" s="20" t="n">
        <x:v>5</x:v>
      </x:c>
      <x:c r="B60" s="20" t="n">
        <x:v>8</x:v>
      </x:c>
      <x:c r="C60" s="563" t="n">
        <x:f>'_計算月次'!$J$12</x:f>
        <x:v>528.6548067323699</x:v>
      </x:c>
      <x:c r="D60" s="563" t="n">
        <x:f>'_計算月次'!$K$12</x:f>
        <x:v>450</x:v>
      </x:c>
      <x:c r="E60" s="585" t="n">
        <x:f>(1-MAX(MIN('詳細設定'!$D$16,0.999999),0))^(A60-1)</x:f>
        <x:v>1</x:v>
      </x:c>
      <x:c r="F60" s="563" t="n">
        <x:f>MAX(C60*E60,0)</x:f>
        <x:v>528.6548067323699</x:v>
      </x:c>
      <x:c r="G60" s="563" t="n">
        <x:f>MAX(MIN('詳細設定'!$D$15,1),0)</x:f>
        <x:v>0.4</x:v>
      </x:c>
      <x:c r="H60" s="563" t="n">
        <x:f>MAX(MIN(F60*G60,D60),0)</x:f>
        <x:v>211.46192269294798</x:v>
      </x:c>
      <x:c r="I60" s="563" t="n">
        <x:f>MAX(F60-H60,0)</x:f>
        <x:v>317.192884039422</x:v>
      </x:c>
      <x:c r="J60" s="185" t="n">
        <x:f>MAX('詳細設定'!$D$6,0)*(1+'詳細設定'!$D$21)^(A60-1)</x:f>
        <x:v>36.42114035</x:v>
      </x:c>
      <x:c r="K60" s="185" t="n">
        <x:f>IF(A60&lt;=MAX(MIN('詳細設定'!$D$8,20),0),MAX('詳細設定'!$D$7,0),IF(A60&lt;=MAX(MIN('詳細設定'!$D$10,20),0),MAX('詳細設定'!$D$9,0),MAX('詳細設定'!$D$11,0)))</x:f>
        <x:v>8.3</x:v>
      </x:c>
      <x:c r="L60" s="190" t="n">
        <x:f>H60*J60</x:f>
        <x:v>7701.684365080709</x:v>
      </x:c>
      <x:c r="M60" s="190" t="n">
        <x:f>I60*K60</x:f>
        <x:v>2632.7009375272028</x:v>
      </x:c>
      <x:c r="N60" s="190" t="n">
        <x:f>L60+M60</x:f>
        <x:v>10334.385302607912</x:v>
      </x:c>
      <x:c r="O60" s="196" t="n">
        <x:f>F60-H60-I60</x:f>
        <x:v>0</x:v>
      </x:c>
    </x:row>
    <x:row r="61">
      <x:c r="A61" s="20" t="n">
        <x:v>5</x:v>
      </x:c>
      <x:c r="B61" s="20" t="n">
        <x:v>9</x:v>
      </x:c>
      <x:c r="C61" s="563" t="n">
        <x:f>'_計算月次'!$J$13</x:f>
        <x:v>436.37734765103465</x:v>
      </x:c>
      <x:c r="D61" s="563" t="n">
        <x:f>'_計算月次'!$K$13</x:f>
        <x:v>360</x:v>
      </x:c>
      <x:c r="E61" s="585" t="n">
        <x:f>(1-MAX(MIN('詳細設定'!$D$16,0.999999),0))^(A61-1)</x:f>
        <x:v>1</x:v>
      </x:c>
      <x:c r="F61" s="563" t="n">
        <x:f>MAX(C61*E61,0)</x:f>
        <x:v>436.37734765103465</x:v>
      </x:c>
      <x:c r="G61" s="563" t="n">
        <x:f>MAX(MIN('詳細設定'!$D$15,1),0)</x:f>
        <x:v>0.4</x:v>
      </x:c>
      <x:c r="H61" s="563" t="n">
        <x:f>MAX(MIN(F61*G61,D61),0)</x:f>
        <x:v>174.55093906041387</x:v>
      </x:c>
      <x:c r="I61" s="563" t="n">
        <x:f>MAX(F61-H61,0)</x:f>
        <x:v>261.82640859062076</x:v>
      </x:c>
      <x:c r="J61" s="185" t="n">
        <x:f>MAX('詳細設定'!$D$6,0)*(1+'詳細設定'!$D$21)^(A61-1)</x:f>
        <x:v>36.42114035</x:v>
      </x:c>
      <x:c r="K61" s="185" t="n">
        <x:f>IF(A61&lt;=MAX(MIN('詳細設定'!$D$8,20),0),MAX('詳細設定'!$D$7,0),IF(A61&lt;=MAX(MIN('詳細設定'!$D$10,20),0),MAX('詳細設定'!$D$9,0),MAX('詳細設定'!$D$11,0)))</x:f>
        <x:v>8.3</x:v>
      </x:c>
      <x:c r="L61" s="190" t="n">
        <x:f>H61*J61</x:f>
        <x:v>6357.344249743631</x:v>
      </x:c>
      <x:c r="M61" s="190" t="n">
        <x:f>I61*K61</x:f>
        <x:v>2173.1591913021525</x:v>
      </x:c>
      <x:c r="N61" s="190" t="n">
        <x:f>L61+M61</x:f>
        <x:v>8530.503441045783</x:v>
      </x:c>
      <x:c r="O61" s="196" t="n">
        <x:f>F61-H61-I61</x:f>
        <x:v>0</x:v>
      </x:c>
    </x:row>
    <x:row r="62">
      <x:c r="A62" s="20" t="n">
        <x:v>5</x:v>
      </x:c>
      <x:c r="B62" s="20" t="n">
        <x:v>10</x:v>
      </x:c>
      <x:c r="C62" s="563" t="n">
        <x:f>'_計算月次'!$J$14</x:f>
        <x:v>408.8269849869007</x:v>
      </x:c>
      <x:c r="D62" s="563" t="n">
        <x:f>'_計算月次'!$K$14</x:f>
        <x:v>315.00000000000006</x:v>
      </x:c>
      <x:c r="E62" s="585" t="n">
        <x:f>(1-MAX(MIN('詳細設定'!$D$16,0.999999),0))^(A62-1)</x:f>
        <x:v>1</x:v>
      </x:c>
      <x:c r="F62" s="563" t="n">
        <x:f>MAX(C62*E62,0)</x:f>
        <x:v>408.8269849869007</x:v>
      </x:c>
      <x:c r="G62" s="563" t="n">
        <x:f>MAX(MIN('詳細設定'!$D$15,1),0)</x:f>
        <x:v>0.4</x:v>
      </x:c>
      <x:c r="H62" s="563" t="n">
        <x:f>MAX(MIN(F62*G62,D62),0)</x:f>
        <x:v>163.5307939947603</x:v>
      </x:c>
      <x:c r="I62" s="563" t="n">
        <x:f>MAX(F62-H62,0)</x:f>
        <x:v>245.2961909921404</x:v>
      </x:c>
      <x:c r="J62" s="185" t="n">
        <x:f>MAX('詳細設定'!$D$6,0)*(1+'詳細設定'!$D$21)^(A62-1)</x:f>
        <x:v>36.42114035</x:v>
      </x:c>
      <x:c r="K62" s="185" t="n">
        <x:f>IF(A62&lt;=MAX(MIN('詳細設定'!$D$8,20),0),MAX('詳細設定'!$D$7,0),IF(A62&lt;=MAX(MIN('詳細設定'!$D$10,20),0),MAX('詳細設定'!$D$9,0),MAX('詳細設定'!$D$11,0)))</x:f>
        <x:v>8.3</x:v>
      </x:c>
      <x:c r="L62" s="190" t="n">
        <x:f>H62*J62</x:f>
        <x:v>5955.977999630102</x:v>
      </x:c>
      <x:c r="M62" s="190" t="n">
        <x:f>I62*K62</x:f>
        <x:v>2035.9583852347655</x:v>
      </x:c>
      <x:c r="N62" s="190" t="n">
        <x:f>L62+M62</x:f>
        <x:v>7991.936384864868</x:v>
      </x:c>
      <x:c r="O62" s="196" t="n">
        <x:f>F62-H62-I62</x:f>
        <x:v>0</x:v>
      </x:c>
    </x:row>
    <x:row r="63">
      <x:c r="A63" s="20" t="n">
        <x:v>5</x:v>
      </x:c>
      <x:c r="B63" s="20" t="n">
        <x:v>11</x:v>
      </x:c>
      <x:c r="C63" s="563" t="n">
        <x:f>'_計算月次'!$J$15</x:f>
        <x:v>398.45169764745054</x:v>
      </x:c>
      <x:c r="D63" s="563" t="n">
        <x:f>'_計算月次'!$K$15</x:f>
        <x:v>360</x:v>
      </x:c>
      <x:c r="E63" s="585" t="n">
        <x:f>(1-MAX(MIN('詳細設定'!$D$16,0.999999),0))^(A63-1)</x:f>
        <x:v>1</x:v>
      </x:c>
      <x:c r="F63" s="563" t="n">
        <x:f>MAX(C63*E63,0)</x:f>
        <x:v>398.45169764745054</x:v>
      </x:c>
      <x:c r="G63" s="563" t="n">
        <x:f>MAX(MIN('詳細設定'!$D$15,1),0)</x:f>
        <x:v>0.4</x:v>
      </x:c>
      <x:c r="H63" s="563" t="n">
        <x:f>MAX(MIN(F63*G63,D63),0)</x:f>
        <x:v>159.38067905898023</x:v>
      </x:c>
      <x:c r="I63" s="563" t="n">
        <x:f>MAX(F63-H63,0)</x:f>
        <x:v>239.0710185884703</x:v>
      </x:c>
      <x:c r="J63" s="185" t="n">
        <x:f>MAX('詳細設定'!$D$6,0)*(1+'詳細設定'!$D$21)^(A63-1)</x:f>
        <x:v>36.42114035</x:v>
      </x:c>
      <x:c r="K63" s="185" t="n">
        <x:f>IF(A63&lt;=MAX(MIN('詳細設定'!$D$8,20),0),MAX('詳細設定'!$D$7,0),IF(A63&lt;=MAX(MIN('詳細設定'!$D$10,20),0),MAX('詳細設定'!$D$9,0),MAX('詳細設定'!$D$11,0)))</x:f>
        <x:v>8.3</x:v>
      </x:c>
      <x:c r="L63" s="190" t="n">
        <x:f>H63*J63</x:f>
        <x:v>5804.826081085425</x:v>
      </x:c>
      <x:c r="M63" s="190" t="n">
        <x:f>I63*K63</x:f>
        <x:v>1984.2894542843037</x:v>
      </x:c>
      <x:c r="N63" s="190" t="n">
        <x:f>L63+M63</x:f>
        <x:v>7789.115535369729</x:v>
      </x:c>
      <x:c r="O63" s="196" t="n">
        <x:f>F63-H63-I63</x:f>
        <x:v>0</x:v>
      </x:c>
    </x:row>
    <x:row r="64">
      <x:c r="A64" s="20" t="n">
        <x:v>5</x:v>
      </x:c>
      <x:c r="B64" s="20" t="n">
        <x:v>12</x:v>
      </x:c>
      <x:c r="C64" s="563" t="n">
        <x:f>'_計算月次'!$J$16</x:f>
        <x:v>443.97248688000184</x:v>
      </x:c>
      <x:c r="D64" s="563" t="n">
        <x:f>'_計算月次'!$K$16</x:f>
        <x:v>405</x:v>
      </x:c>
      <x:c r="E64" s="585" t="n">
        <x:f>(1-MAX(MIN('詳細設定'!$D$16,0.999999),0))^(A64-1)</x:f>
        <x:v>1</x:v>
      </x:c>
      <x:c r="F64" s="563" t="n">
        <x:f>MAX(C64*E64,0)</x:f>
        <x:v>443.97248688000184</x:v>
      </x:c>
      <x:c r="G64" s="563" t="n">
        <x:f>MAX(MIN('詳細設定'!$D$15,1),0)</x:f>
        <x:v>0.4</x:v>
      </x:c>
      <x:c r="H64" s="563" t="n">
        <x:f>MAX(MIN(F64*G64,D64),0)</x:f>
        <x:v>177.58899475200076</x:v>
      </x:c>
      <x:c r="I64" s="563" t="n">
        <x:f>MAX(F64-H64,0)</x:f>
        <x:v>266.3834921280011</x:v>
      </x:c>
      <x:c r="J64" s="185" t="n">
        <x:f>MAX('詳細設定'!$D$6,0)*(1+'詳細設定'!$D$21)^(A64-1)</x:f>
        <x:v>36.42114035</x:v>
      </x:c>
      <x:c r="K64" s="185" t="n">
        <x:f>IF(A64&lt;=MAX(MIN('詳細設定'!$D$8,20),0),MAX('詳細設定'!$D$7,0),IF(A64&lt;=MAX(MIN('詳細設定'!$D$10,20),0),MAX('詳細設定'!$D$9,0),MAX('詳細設定'!$D$11,0)))</x:f>
        <x:v>8.3</x:v>
      </x:c>
      <x:c r="L64" s="190" t="n">
        <x:f>H64*J64</x:f>
        <x:v>6467.993702478034</x:v>
      </x:c>
      <x:c r="M64" s="190" t="n">
        <x:f>I64*K64</x:f>
        <x:v>2210.9829846624093</x:v>
      </x:c>
      <x:c r="N64" s="190" t="n">
        <x:f>L64+M64</x:f>
        <x:v>8678.976687140443</x:v>
      </x:c>
      <x:c r="O64" s="196" t="n">
        <x:f>F64-H64-I64</x:f>
        <x:v>0</x:v>
      </x:c>
    </x:row>
    <x:row r="65">
      <x:c r="A65" s="20" t="n">
        <x:v>6</x:v>
      </x:c>
      <x:c r="B65" s="20" t="n">
        <x:v>1</x:v>
      </x:c>
      <x:c r="C65" s="563" t="n">
        <x:f>'_計算月次'!$J$5</x:f>
        <x:v>502.4147595742038</x:v>
      </x:c>
      <x:c r="D65" s="563" t="n">
        <x:f>'_計算月次'!$K$5</x:f>
        <x:v>450</x:v>
      </x:c>
      <x:c r="E65" s="585" t="n">
        <x:f>(1-MAX(MIN('詳細設定'!$D$16,0.999999),0))^(A65-1)</x:f>
        <x:v>1</x:v>
      </x:c>
      <x:c r="F65" s="563" t="n">
        <x:f>MAX(C65*E65,0)</x:f>
        <x:v>502.4147595742038</x:v>
      </x:c>
      <x:c r="G65" s="563" t="n">
        <x:f>MAX(MIN('詳細設定'!$D$15,1),0)</x:f>
        <x:v>0.4</x:v>
      </x:c>
      <x:c r="H65" s="563" t="n">
        <x:f>MAX(MIN(F65*G65,D65),0)</x:f>
        <x:v>200.96590382968154</x:v>
      </x:c>
      <x:c r="I65" s="563" t="n">
        <x:f>MAX(F65-H65,0)</x:f>
        <x:v>301.44885574452223</x:v>
      </x:c>
      <x:c r="J65" s="185" t="n">
        <x:f>MAX('詳細設定'!$D$6,0)*(1+'詳細設定'!$D$21)^(A65-1)</x:f>
        <x:v>36.7853517535</x:v>
      </x:c>
      <x:c r="K65" s="185" t="n">
        <x:f>IF(A65&lt;=MAX(MIN('詳細設定'!$D$8,20),0),MAX('詳細設定'!$D$7,0),IF(A65&lt;=MAX(MIN('詳細設定'!$D$10,20),0),MAX('詳細設定'!$D$9,0),MAX('詳細設定'!$D$11,0)))</x:f>
        <x:v>8.3</x:v>
      </x:c>
      <x:c r="L65" s="190" t="n">
        <x:f>H65*J65</x:f>
        <x:v>7392.6014628348885</x:v>
      </x:c>
      <x:c r="M65" s="190" t="n">
        <x:f>I65*K65</x:f>
        <x:v>2502.025502679535</x:v>
      </x:c>
      <x:c r="N65" s="190" t="n">
        <x:f>L65+M65</x:f>
        <x:v>9894.626965514424</x:v>
      </x:c>
      <x:c r="O65" s="196" t="n">
        <x:f>F65-H65-I65</x:f>
        <x:v>0</x:v>
      </x:c>
    </x:row>
    <x:row r="66">
      <x:c r="A66" s="20" t="n">
        <x:v>6</x:v>
      </x:c>
      <x:c r="B66" s="20" t="n">
        <x:v>2</x:v>
      </x:c>
      <x:c r="C66" s="563" t="n">
        <x:f>'_計算月次'!$J$6</x:f>
        <x:v>472.4508339500229</x:v>
      </x:c>
      <x:c r="D66" s="563" t="n">
        <x:f>'_計算月次'!$K$6</x:f>
        <x:v>405</x:v>
      </x:c>
      <x:c r="E66" s="585" t="n">
        <x:f>(1-MAX(MIN('詳細設定'!$D$16,0.999999),0))^(A66-1)</x:f>
        <x:v>1</x:v>
      </x:c>
      <x:c r="F66" s="563" t="n">
        <x:f>MAX(C66*E66,0)</x:f>
        <x:v>472.4508339500229</x:v>
      </x:c>
      <x:c r="G66" s="563" t="n">
        <x:f>MAX(MIN('詳細設定'!$D$15,1),0)</x:f>
        <x:v>0.4</x:v>
      </x:c>
      <x:c r="H66" s="563" t="n">
        <x:f>MAX(MIN(F66*G66,D66),0)</x:f>
        <x:v>188.9803335800092</x:v>
      </x:c>
      <x:c r="I66" s="563" t="n">
        <x:f>MAX(F66-H66,0)</x:f>
        <x:v>283.4705003700137</x:v>
      </x:c>
      <x:c r="J66" s="185" t="n">
        <x:f>MAX('詳細設定'!$D$6,0)*(1+'詳細設定'!$D$21)^(A66-1)</x:f>
        <x:v>36.7853517535</x:v>
      </x:c>
      <x:c r="K66" s="185" t="n">
        <x:f>IF(A66&lt;=MAX(MIN('詳細設定'!$D$8,20),0),MAX('詳細設定'!$D$7,0),IF(A66&lt;=MAX(MIN('詳細設定'!$D$10,20),0),MAX('詳細設定'!$D$9,0),MAX('詳細設定'!$D$11,0)))</x:f>
        <x:v>8.3</x:v>
      </x:c>
      <x:c r="L66" s="190" t="n">
        <x:f>H66*J66</x:f>
        <x:v>6951.708045234406</x:v>
      </x:c>
      <x:c r="M66" s="190" t="n">
        <x:f>I66*K66</x:f>
        <x:v>2352.805153071114</x:v>
      </x:c>
      <x:c r="N66" s="190" t="n">
        <x:f>L66+M66</x:f>
        <x:v>9304.51319830552</x:v>
      </x:c>
      <x:c r="O66" s="196" t="n">
        <x:f>F66-H66-I66</x:f>
        <x:v>0</x:v>
      </x:c>
    </x:row>
    <x:row r="67">
      <x:c r="A67" s="20" t="n">
        <x:v>6</x:v>
      </x:c>
      <x:c r="B67" s="20" t="n">
        <x:v>3</x:v>
      </x:c>
      <x:c r="C67" s="563" t="n">
        <x:f>'_計算月次'!$J$7</x:f>
        <x:v>548.3418864753118</x:v>
      </x:c>
      <x:c r="D67" s="563" t="n">
        <x:f>'_計算月次'!$K$7</x:f>
        <x:v>360</x:v>
      </x:c>
      <x:c r="E67" s="585" t="n">
        <x:f>(1-MAX(MIN('詳細設定'!$D$16,0.999999),0))^(A67-1)</x:f>
        <x:v>1</x:v>
      </x:c>
      <x:c r="F67" s="563" t="n">
        <x:f>MAX(C67*E67,0)</x:f>
        <x:v>548.3418864753118</x:v>
      </x:c>
      <x:c r="G67" s="563" t="n">
        <x:f>MAX(MIN('詳細設定'!$D$15,1),0)</x:f>
        <x:v>0.4</x:v>
      </x:c>
      <x:c r="H67" s="563" t="n">
        <x:f>MAX(MIN(F67*G67,D67),0)</x:f>
        <x:v>219.3367545901247</x:v>
      </x:c>
      <x:c r="I67" s="563" t="n">
        <x:f>MAX(F67-H67,0)</x:f>
        <x:v>329.00513188518704</x:v>
      </x:c>
      <x:c r="J67" s="185" t="n">
        <x:f>MAX('詳細設定'!$D$6,0)*(1+'詳細設定'!$D$21)^(A67-1)</x:f>
        <x:v>36.7853517535</x:v>
      </x:c>
      <x:c r="K67" s="185" t="n">
        <x:f>IF(A67&lt;=MAX(MIN('詳細設定'!$D$8,20),0),MAX('詳細設定'!$D$7,0),IF(A67&lt;=MAX(MIN('詳細設定'!$D$10,20),0),MAX('詳細設定'!$D$9,0),MAX('詳細設定'!$D$11,0)))</x:f>
        <x:v>8.3</x:v>
      </x:c>
      <x:c r="L67" s="190" t="n">
        <x:f>H67*J67</x:f>
        <x:v>8068.379670068844</x:v>
      </x:c>
      <x:c r="M67" s="190" t="n">
        <x:f>I67*K67</x:f>
        <x:v>2730.7425946470526</x:v>
      </x:c>
      <x:c r="N67" s="190" t="n">
        <x:f>L67+M67</x:f>
        <x:v>10799.122264715896</x:v>
      </x:c>
      <x:c r="O67" s="196" t="n">
        <x:f>F67-H67-I67</x:f>
        <x:v>0</x:v>
      </x:c>
    </x:row>
    <x:row r="68">
      <x:c r="A68" s="20" t="n">
        <x:v>6</x:v>
      </x:c>
      <x:c r="B68" s="20" t="n">
        <x:v>4</x:v>
      </x:c>
      <x:c r="C68" s="563" t="n">
        <x:f>'_計算月次'!$J$8</x:f>
        <x:v>548.3944393749554</x:v>
      </x:c>
      <x:c r="D68" s="563" t="n">
        <x:f>'_計算月次'!$K$8</x:f>
        <x:v>315.00000000000006</x:v>
      </x:c>
      <x:c r="E68" s="585" t="n">
        <x:f>(1-MAX(MIN('詳細設定'!$D$16,0.999999),0))^(A68-1)</x:f>
        <x:v>1</x:v>
      </x:c>
      <x:c r="F68" s="563" t="n">
        <x:f>MAX(C68*E68,0)</x:f>
        <x:v>548.3944393749554</x:v>
      </x:c>
      <x:c r="G68" s="563" t="n">
        <x:f>MAX(MIN('詳細設定'!$D$15,1),0)</x:f>
        <x:v>0.4</x:v>
      </x:c>
      <x:c r="H68" s="563" t="n">
        <x:f>MAX(MIN(F68*G68,D68),0)</x:f>
        <x:v>219.35777574998215</x:v>
      </x:c>
      <x:c r="I68" s="563" t="n">
        <x:f>MAX(F68-H68,0)</x:f>
        <x:v>329.03666362497324</x:v>
      </x:c>
      <x:c r="J68" s="185" t="n">
        <x:f>MAX('詳細設定'!$D$6,0)*(1+'詳細設定'!$D$21)^(A68-1)</x:f>
        <x:v>36.7853517535</x:v>
      </x:c>
      <x:c r="K68" s="185" t="n">
        <x:f>IF(A68&lt;=MAX(MIN('詳細設定'!$D$8,20),0),MAX('詳細設定'!$D$7,0),IF(A68&lt;=MAX(MIN('詳細設定'!$D$10,20),0),MAX('詳細設定'!$D$9,0),MAX('詳細設定'!$D$11,0)))</x:f>
        <x:v>8.3</x:v>
      </x:c>
      <x:c r="L68" s="190" t="n">
        <x:f>H68*J68</x:f>
        <x:v>8069.152940828466</x:v>
      </x:c>
      <x:c r="M68" s="190" t="n">
        <x:f>I68*K68</x:f>
        <x:v>2731.0043080872783</x:v>
      </x:c>
      <x:c r="N68" s="190" t="n">
        <x:f>L68+M68</x:f>
        <x:v>10800.157248915744</x:v>
      </x:c>
      <x:c r="O68" s="196" t="n">
        <x:f>F68-H68-I68</x:f>
        <x:v>0</x:v>
      </x:c>
    </x:row>
    <x:row r="69">
      <x:c r="A69" s="20" t="n">
        <x:v>6</x:v>
      </x:c>
      <x:c r="B69" s="20" t="n">
        <x:v>5</x:v>
      </x:c>
      <x:c r="C69" s="563" t="n">
        <x:f>'_計算月次'!$J$9</x:f>
        <x:v>552.2367574934775</x:v>
      </x:c>
      <x:c r="D69" s="563" t="n">
        <x:f>'_計算月次'!$K$9</x:f>
        <x:v>315.00000000000006</x:v>
      </x:c>
      <x:c r="E69" s="585" t="n">
        <x:f>(1-MAX(MIN('詳細設定'!$D$16,0.999999),0))^(A69-1)</x:f>
        <x:v>1</x:v>
      </x:c>
      <x:c r="F69" s="563" t="n">
        <x:f>MAX(C69*E69,0)</x:f>
        <x:v>552.2367574934775</x:v>
      </x:c>
      <x:c r="G69" s="563" t="n">
        <x:f>MAX(MIN('詳細設定'!$D$15,1),0)</x:f>
        <x:v>0.4</x:v>
      </x:c>
      <x:c r="H69" s="563" t="n">
        <x:f>MAX(MIN(F69*G69,D69),0)</x:f>
        <x:v>220.89470299739102</x:v>
      </x:c>
      <x:c r="I69" s="563" t="n">
        <x:f>MAX(F69-H69,0)</x:f>
        <x:v>331.34205449608646</x:v>
      </x:c>
      <x:c r="J69" s="185" t="n">
        <x:f>MAX('詳細設定'!$D$6,0)*(1+'詳細設定'!$D$21)^(A69-1)</x:f>
        <x:v>36.7853517535</x:v>
      </x:c>
      <x:c r="K69" s="185" t="n">
        <x:f>IF(A69&lt;=MAX(MIN('詳細設定'!$D$8,20),0),MAX('詳細設定'!$D$7,0),IF(A69&lt;=MAX(MIN('詳細設定'!$D$10,20),0),MAX('詳細設定'!$D$9,0),MAX('詳細設定'!$D$11,0)))</x:f>
        <x:v>8.3</x:v>
      </x:c>
      <x:c r="L69" s="190" t="n">
        <x:f>H69*J69</x:f>
        <x:v>8125.68935024394</x:v>
      </x:c>
      <x:c r="M69" s="190" t="n">
        <x:f>I69*K69</x:f>
        <x:v>2750.139052317518</x:v>
      </x:c>
      <x:c r="N69" s="190" t="n">
        <x:f>L69+M69</x:f>
        <x:v>10875.828402561458</x:v>
      </x:c>
      <x:c r="O69" s="196" t="n">
        <x:f>F69-H69-I69</x:f>
        <x:v>0</x:v>
      </x:c>
    </x:row>
    <x:row r="70">
      <x:c r="A70" s="20" t="n">
        <x:v>6</x:v>
      </x:c>
      <x:c r="B70" s="20" t="n">
        <x:v>6</x:v>
      </x:c>
      <x:c r="C70" s="563" t="n">
        <x:f>'_計算月次'!$J$10</x:f>
        <x:v>448.7994857612148</x:v>
      </x:c>
      <x:c r="D70" s="563" t="n">
        <x:f>'_計算月次'!$K$10</x:f>
        <x:v>360</x:v>
      </x:c>
      <x:c r="E70" s="585" t="n">
        <x:f>(1-MAX(MIN('詳細設定'!$D$16,0.999999),0))^(A70-1)</x:f>
        <x:v>1</x:v>
      </x:c>
      <x:c r="F70" s="563" t="n">
        <x:f>MAX(C70*E70,0)</x:f>
        <x:v>448.7994857612148</x:v>
      </x:c>
      <x:c r="G70" s="563" t="n">
        <x:f>MAX(MIN('詳細設定'!$D$15,1),0)</x:f>
        <x:v>0.4</x:v>
      </x:c>
      <x:c r="H70" s="563" t="n">
        <x:f>MAX(MIN(F70*G70,D70),0)</x:f>
        <x:v>179.5197943044859</x:v>
      </x:c>
      <x:c r="I70" s="563" t="n">
        <x:f>MAX(F70-H70,0)</x:f>
        <x:v>269.27969145672887</x:v>
      </x:c>
      <x:c r="J70" s="185" t="n">
        <x:f>MAX('詳細設定'!$D$6,0)*(1+'詳細設定'!$D$21)^(A70-1)</x:f>
        <x:v>36.7853517535</x:v>
      </x:c>
      <x:c r="K70" s="185" t="n">
        <x:f>IF(A70&lt;=MAX(MIN('詳細設定'!$D$8,20),0),MAX('詳細設定'!$D$7,0),IF(A70&lt;=MAX(MIN('詳細設定'!$D$10,20),0),MAX('詳細設定'!$D$9,0),MAX('詳細設定'!$D$11,0)))</x:f>
        <x:v>8.3</x:v>
      </x:c>
      <x:c r="L70" s="190" t="n">
        <x:f>H70*J70</x:f>
        <x:v>6603.6987802064805</x:v>
      </x:c>
      <x:c r="M70" s="190" t="n">
        <x:f>I70*K70</x:f>
        <x:v>2235.02143909085</x:v>
      </x:c>
      <x:c r="N70" s="190" t="n">
        <x:f>L70+M70</x:f>
        <x:v>8838.720219297331</x:v>
      </x:c>
      <x:c r="O70" s="196" t="n">
        <x:f>F70-H70-I70</x:f>
        <x:v>0</x:v>
      </x:c>
    </x:row>
    <x:row r="71">
      <x:c r="A71" s="20" t="n">
        <x:v>6</x:v>
      </x:c>
      <x:c r="B71" s="20" t="n">
        <x:v>7</x:v>
      </x:c>
      <x:c r="C71" s="563" t="n">
        <x:f>'_計算月次'!$J$11</x:f>
        <x:v>476.0181638067866</x:v>
      </x:c>
      <x:c r="D71" s="563" t="n">
        <x:f>'_計算月次'!$K$11</x:f>
        <x:v>405</x:v>
      </x:c>
      <x:c r="E71" s="585" t="n">
        <x:f>(1-MAX(MIN('詳細設定'!$D$16,0.999999),0))^(A71-1)</x:f>
        <x:v>1</x:v>
      </x:c>
      <x:c r="F71" s="563" t="n">
        <x:f>MAX(C71*E71,0)</x:f>
        <x:v>476.0181638067866</x:v>
      </x:c>
      <x:c r="G71" s="563" t="n">
        <x:f>MAX(MIN('詳細設定'!$D$15,1),0)</x:f>
        <x:v>0.4</x:v>
      </x:c>
      <x:c r="H71" s="563" t="n">
        <x:f>MAX(MIN(F71*G71,D71),0)</x:f>
        <x:v>190.40726552271465</x:v>
      </x:c>
      <x:c r="I71" s="563" t="n">
        <x:f>MAX(F71-H71,0)</x:f>
        <x:v>285.61089828407194</x:v>
      </x:c>
      <x:c r="J71" s="185" t="n">
        <x:f>MAX('詳細設定'!$D$6,0)*(1+'詳細設定'!$D$21)^(A71-1)</x:f>
        <x:v>36.7853517535</x:v>
      </x:c>
      <x:c r="K71" s="185" t="n">
        <x:f>IF(A71&lt;=MAX(MIN('詳細設定'!$D$8,20),0),MAX('詳細設定'!$D$7,0),IF(A71&lt;=MAX(MIN('詳細設定'!$D$10,20),0),MAX('詳細設定'!$D$9,0),MAX('詳細設定'!$D$11,0)))</x:f>
        <x:v>8.3</x:v>
      </x:c>
      <x:c r="L71" s="190" t="n">
        <x:f>H71*J71</x:f>
        <x:v>7004.198238675132</x:v>
      </x:c>
      <x:c r="M71" s="190" t="n">
        <x:f>I71*K71</x:f>
        <x:v>2370.5704557577974</x:v>
      </x:c>
      <x:c r="N71" s="190" t="n">
        <x:f>L71+M71</x:f>
        <x:v>9374.768694432929</x:v>
      </x:c>
      <x:c r="O71" s="196" t="n">
        <x:f>F71-H71-I71</x:f>
        <x:v>0</x:v>
      </x:c>
    </x:row>
    <x:row r="72">
      <x:c r="A72" s="20" t="n">
        <x:v>6</x:v>
      </x:c>
      <x:c r="B72" s="20" t="n">
        <x:v>8</x:v>
      </x:c>
      <x:c r="C72" s="563" t="n">
        <x:f>'_計算月次'!$J$12</x:f>
        <x:v>528.6548067323699</x:v>
      </x:c>
      <x:c r="D72" s="563" t="n">
        <x:f>'_計算月次'!$K$12</x:f>
        <x:v>450</x:v>
      </x:c>
      <x:c r="E72" s="585" t="n">
        <x:f>(1-MAX(MIN('詳細設定'!$D$16,0.999999),0))^(A72-1)</x:f>
        <x:v>1</x:v>
      </x:c>
      <x:c r="F72" s="563" t="n">
        <x:f>MAX(C72*E72,0)</x:f>
        <x:v>528.6548067323699</x:v>
      </x:c>
      <x:c r="G72" s="563" t="n">
        <x:f>MAX(MIN('詳細設定'!$D$15,1),0)</x:f>
        <x:v>0.4</x:v>
      </x:c>
      <x:c r="H72" s="563" t="n">
        <x:f>MAX(MIN(F72*G72,D72),0)</x:f>
        <x:v>211.46192269294798</x:v>
      </x:c>
      <x:c r="I72" s="563" t="n">
        <x:f>MAX(F72-H72,0)</x:f>
        <x:v>317.192884039422</x:v>
      </x:c>
      <x:c r="J72" s="185" t="n">
        <x:f>MAX('詳細設定'!$D$6,0)*(1+'詳細設定'!$D$21)^(A72-1)</x:f>
        <x:v>36.7853517535</x:v>
      </x:c>
      <x:c r="K72" s="185" t="n">
        <x:f>IF(A72&lt;=MAX(MIN('詳細設定'!$D$8,20),0),MAX('詳細設定'!$D$7,0),IF(A72&lt;=MAX(MIN('詳細設定'!$D$10,20),0),MAX('詳細設定'!$D$9,0),MAX('詳細設定'!$D$11,0)))</x:f>
        <x:v>8.3</x:v>
      </x:c>
      <x:c r="L72" s="190" t="n">
        <x:f>H72*J72</x:f>
        <x:v>7778.701208731516</x:v>
      </x:c>
      <x:c r="M72" s="190" t="n">
        <x:f>I72*K72</x:f>
        <x:v>2632.7009375272028</x:v>
      </x:c>
      <x:c r="N72" s="190" t="n">
        <x:f>L72+M72</x:f>
        <x:v>10411.402146258719</x:v>
      </x:c>
      <x:c r="O72" s="196" t="n">
        <x:f>F72-H72-I72</x:f>
        <x:v>0</x:v>
      </x:c>
    </x:row>
    <x:row r="73">
      <x:c r="A73" s="20" t="n">
        <x:v>6</x:v>
      </x:c>
      <x:c r="B73" s="20" t="n">
        <x:v>9</x:v>
      </x:c>
      <x:c r="C73" s="563" t="n">
        <x:f>'_計算月次'!$J$13</x:f>
        <x:v>436.37734765103465</x:v>
      </x:c>
      <x:c r="D73" s="563" t="n">
        <x:f>'_計算月次'!$K$13</x:f>
        <x:v>360</x:v>
      </x:c>
      <x:c r="E73" s="585" t="n">
        <x:f>(1-MAX(MIN('詳細設定'!$D$16,0.999999),0))^(A73-1)</x:f>
        <x:v>1</x:v>
      </x:c>
      <x:c r="F73" s="563" t="n">
        <x:f>MAX(C73*E73,0)</x:f>
        <x:v>436.37734765103465</x:v>
      </x:c>
      <x:c r="G73" s="563" t="n">
        <x:f>MAX(MIN('詳細設定'!$D$15,1),0)</x:f>
        <x:v>0.4</x:v>
      </x:c>
      <x:c r="H73" s="563" t="n">
        <x:f>MAX(MIN(F73*G73,D73),0)</x:f>
        <x:v>174.55093906041387</x:v>
      </x:c>
      <x:c r="I73" s="563" t="n">
        <x:f>MAX(F73-H73,0)</x:f>
        <x:v>261.82640859062076</x:v>
      </x:c>
      <x:c r="J73" s="185" t="n">
        <x:f>MAX('詳細設定'!$D$6,0)*(1+'詳細設定'!$D$21)^(A73-1)</x:f>
        <x:v>36.7853517535</x:v>
      </x:c>
      <x:c r="K73" s="185" t="n">
        <x:f>IF(A73&lt;=MAX(MIN('詳細設定'!$D$8,20),0),MAX('詳細設定'!$D$7,0),IF(A73&lt;=MAX(MIN('詳細設定'!$D$10,20),0),MAX('詳細設定'!$D$9,0),MAX('詳細設定'!$D$11,0)))</x:f>
        <x:v>8.3</x:v>
      </x:c>
      <x:c r="L73" s="190" t="n">
        <x:f>H73*J73</x:f>
        <x:v>6420.917692241067</x:v>
      </x:c>
      <x:c r="M73" s="190" t="n">
        <x:f>I73*K73</x:f>
        <x:v>2173.1591913021525</x:v>
      </x:c>
      <x:c r="N73" s="190" t="n">
        <x:f>L73+M73</x:f>
        <x:v>8594.076883543219</x:v>
      </x:c>
      <x:c r="O73" s="196" t="n">
        <x:f>F73-H73-I73</x:f>
        <x:v>0</x:v>
      </x:c>
    </x:row>
    <x:row r="74">
      <x:c r="A74" s="20" t="n">
        <x:v>6</x:v>
      </x:c>
      <x:c r="B74" s="20" t="n">
        <x:v>10</x:v>
      </x:c>
      <x:c r="C74" s="563" t="n">
        <x:f>'_計算月次'!$J$14</x:f>
        <x:v>408.8269849869007</x:v>
      </x:c>
      <x:c r="D74" s="563" t="n">
        <x:f>'_計算月次'!$K$14</x:f>
        <x:v>315.00000000000006</x:v>
      </x:c>
      <x:c r="E74" s="585" t="n">
        <x:f>(1-MAX(MIN('詳細設定'!$D$16,0.999999),0))^(A74-1)</x:f>
        <x:v>1</x:v>
      </x:c>
      <x:c r="F74" s="563" t="n">
        <x:f>MAX(C74*E74,0)</x:f>
        <x:v>408.8269849869007</x:v>
      </x:c>
      <x:c r="G74" s="563" t="n">
        <x:f>MAX(MIN('詳細設定'!$D$15,1),0)</x:f>
        <x:v>0.4</x:v>
      </x:c>
      <x:c r="H74" s="563" t="n">
        <x:f>MAX(MIN(F74*G74,D74),0)</x:f>
        <x:v>163.5307939947603</x:v>
      </x:c>
      <x:c r="I74" s="563" t="n">
        <x:f>MAX(F74-H74,0)</x:f>
        <x:v>245.2961909921404</x:v>
      </x:c>
      <x:c r="J74" s="185" t="n">
        <x:f>MAX('詳細設定'!$D$6,0)*(1+'詳細設定'!$D$21)^(A74-1)</x:f>
        <x:v>36.7853517535</x:v>
      </x:c>
      <x:c r="K74" s="185" t="n">
        <x:f>IF(A74&lt;=MAX(MIN('詳細設定'!$D$8,20),0),MAX('詳細設定'!$D$7,0),IF(A74&lt;=MAX(MIN('詳細設定'!$D$10,20),0),MAX('詳細設定'!$D$9,0),MAX('詳細設定'!$D$11,0)))</x:f>
        <x:v>8.3</x:v>
      </x:c>
      <x:c r="L74" s="190" t="n">
        <x:f>H74*J74</x:f>
        <x:v>6015.537779626404</x:v>
      </x:c>
      <x:c r="M74" s="190" t="n">
        <x:f>I74*K74</x:f>
        <x:v>2035.9583852347655</x:v>
      </x:c>
      <x:c r="N74" s="190" t="n">
        <x:f>L74+M74</x:f>
        <x:v>8051.49616486117</x:v>
      </x:c>
      <x:c r="O74" s="196" t="n">
        <x:f>F74-H74-I74</x:f>
        <x:v>0</x:v>
      </x:c>
    </x:row>
    <x:row r="75">
      <x:c r="A75" s="20" t="n">
        <x:v>6</x:v>
      </x:c>
      <x:c r="B75" s="20" t="n">
        <x:v>11</x:v>
      </x:c>
      <x:c r="C75" s="563" t="n">
        <x:f>'_計算月次'!$J$15</x:f>
        <x:v>398.45169764745054</x:v>
      </x:c>
      <x:c r="D75" s="563" t="n">
        <x:f>'_計算月次'!$K$15</x:f>
        <x:v>360</x:v>
      </x:c>
      <x:c r="E75" s="585" t="n">
        <x:f>(1-MAX(MIN('詳細設定'!$D$16,0.999999),0))^(A75-1)</x:f>
        <x:v>1</x:v>
      </x:c>
      <x:c r="F75" s="563" t="n">
        <x:f>MAX(C75*E75,0)</x:f>
        <x:v>398.45169764745054</x:v>
      </x:c>
      <x:c r="G75" s="563" t="n">
        <x:f>MAX(MIN('詳細設定'!$D$15,1),0)</x:f>
        <x:v>0.4</x:v>
      </x:c>
      <x:c r="H75" s="563" t="n">
        <x:f>MAX(MIN(F75*G75,D75),0)</x:f>
        <x:v>159.38067905898023</x:v>
      </x:c>
      <x:c r="I75" s="563" t="n">
        <x:f>MAX(F75-H75,0)</x:f>
        <x:v>239.0710185884703</x:v>
      </x:c>
      <x:c r="J75" s="185" t="n">
        <x:f>MAX('詳細設定'!$D$6,0)*(1+'詳細設定'!$D$21)^(A75-1)</x:f>
        <x:v>36.7853517535</x:v>
      </x:c>
      <x:c r="K75" s="185" t="n">
        <x:f>IF(A75&lt;=MAX(MIN('詳細設定'!$D$8,20),0),MAX('詳細設定'!$D$7,0),IF(A75&lt;=MAX(MIN('詳細設定'!$D$10,20),0),MAX('詳細設定'!$D$9,0),MAX('詳細設定'!$D$11,0)))</x:f>
        <x:v>8.3</x:v>
      </x:c>
      <x:c r="L75" s="190" t="n">
        <x:f>H75*J75</x:f>
        <x:v>5862.8743418962795</x:v>
      </x:c>
      <x:c r="M75" s="190" t="n">
        <x:f>I75*K75</x:f>
        <x:v>1984.2894542843037</x:v>
      </x:c>
      <x:c r="N75" s="190" t="n">
        <x:f>L75+M75</x:f>
        <x:v>7847.163796180583</x:v>
      </x:c>
      <x:c r="O75" s="196" t="n">
        <x:f>F75-H75-I75</x:f>
        <x:v>0</x:v>
      </x:c>
    </x:row>
    <x:row r="76">
      <x:c r="A76" s="20" t="n">
        <x:v>6</x:v>
      </x:c>
      <x:c r="B76" s="20" t="n">
        <x:v>12</x:v>
      </x:c>
      <x:c r="C76" s="563" t="n">
        <x:f>'_計算月次'!$J$16</x:f>
        <x:v>443.97248688000184</x:v>
      </x:c>
      <x:c r="D76" s="563" t="n">
        <x:f>'_計算月次'!$K$16</x:f>
        <x:v>405</x:v>
      </x:c>
      <x:c r="E76" s="585" t="n">
        <x:f>(1-MAX(MIN('詳細設定'!$D$16,0.999999),0))^(A76-1)</x:f>
        <x:v>1</x:v>
      </x:c>
      <x:c r="F76" s="563" t="n">
        <x:f>MAX(C76*E76,0)</x:f>
        <x:v>443.97248688000184</x:v>
      </x:c>
      <x:c r="G76" s="563" t="n">
        <x:f>MAX(MIN('詳細設定'!$D$15,1),0)</x:f>
        <x:v>0.4</x:v>
      </x:c>
      <x:c r="H76" s="563" t="n">
        <x:f>MAX(MIN(F76*G76,D76),0)</x:f>
        <x:v>177.58899475200076</x:v>
      </x:c>
      <x:c r="I76" s="563" t="n">
        <x:f>MAX(F76-H76,0)</x:f>
        <x:v>266.3834921280011</x:v>
      </x:c>
      <x:c r="J76" s="185" t="n">
        <x:f>MAX('詳細設定'!$D$6,0)*(1+'詳細設定'!$D$21)^(A76-1)</x:f>
        <x:v>36.7853517535</x:v>
      </x:c>
      <x:c r="K76" s="185" t="n">
        <x:f>IF(A76&lt;=MAX(MIN('詳細設定'!$D$8,20),0),MAX('詳細設定'!$D$7,0),IF(A76&lt;=MAX(MIN('詳細設定'!$D$10,20),0),MAX('詳細設定'!$D$9,0),MAX('詳細設定'!$D$11,0)))</x:f>
        <x:v>8.3</x:v>
      </x:c>
      <x:c r="L76" s="190" t="n">
        <x:f>H76*J76</x:f>
        <x:v>6532.673639502814</x:v>
      </x:c>
      <x:c r="M76" s="190" t="n">
        <x:f>I76*K76</x:f>
        <x:v>2210.9829846624093</x:v>
      </x:c>
      <x:c r="N76" s="190" t="n">
        <x:f>L76+M76</x:f>
        <x:v>8743.656624165224</x:v>
      </x:c>
      <x:c r="O76" s="196" t="n">
        <x:f>F76-H76-I76</x:f>
        <x:v>0</x:v>
      </x:c>
    </x:row>
    <x:row r="77">
      <x:c r="A77" s="20" t="n">
        <x:v>7</x:v>
      </x:c>
      <x:c r="B77" s="20" t="n">
        <x:v>1</x:v>
      </x:c>
      <x:c r="C77" s="563" t="n">
        <x:f>'_計算月次'!$J$5</x:f>
        <x:v>502.4147595742038</x:v>
      </x:c>
      <x:c r="D77" s="563" t="n">
        <x:f>'_計算月次'!$K$5</x:f>
        <x:v>450</x:v>
      </x:c>
      <x:c r="E77" s="585" t="n">
        <x:f>(1-MAX(MIN('詳細設定'!$D$16,0.999999),0))^(A77-1)</x:f>
        <x:v>1</x:v>
      </x:c>
      <x:c r="F77" s="563" t="n">
        <x:f>MAX(C77*E77,0)</x:f>
        <x:v>502.4147595742038</x:v>
      </x:c>
      <x:c r="G77" s="563" t="n">
        <x:f>MAX(MIN('詳細設定'!$D$15,1),0)</x:f>
        <x:v>0.4</x:v>
      </x:c>
      <x:c r="H77" s="563" t="n">
        <x:f>MAX(MIN(F77*G77,D77),0)</x:f>
        <x:v>200.96590382968154</x:v>
      </x:c>
      <x:c r="I77" s="563" t="n">
        <x:f>MAX(F77-H77,0)</x:f>
        <x:v>301.44885574452223</x:v>
      </x:c>
      <x:c r="J77" s="185" t="n">
        <x:f>MAX('詳細設定'!$D$6,0)*(1+'詳細設定'!$D$21)^(A77-1)</x:f>
        <x:v>37.153205271035006</x:v>
      </x:c>
      <x:c r="K77" s="185" t="n">
        <x:f>IF(A77&lt;=MAX(MIN('詳細設定'!$D$8,20),0),MAX('詳細設定'!$D$7,0),IF(A77&lt;=MAX(MIN('詳細設定'!$D$10,20),0),MAX('詳細設定'!$D$9,0),MAX('詳細設定'!$D$11,0)))</x:f>
        <x:v>8.3</x:v>
      </x:c>
      <x:c r="L77" s="190" t="n">
        <x:f>H77*J77</x:f>
        <x:v>7466.527477463238</x:v>
      </x:c>
      <x:c r="M77" s="190" t="n">
        <x:f>I77*K77</x:f>
        <x:v>2502.025502679535</x:v>
      </x:c>
      <x:c r="N77" s="190" t="n">
        <x:f>L77+M77</x:f>
        <x:v>9968.552980142773</x:v>
      </x:c>
      <x:c r="O77" s="196" t="n">
        <x:f>F77-H77-I77</x:f>
        <x:v>0</x:v>
      </x:c>
    </x:row>
    <x:row r="78">
      <x:c r="A78" s="20" t="n">
        <x:v>7</x:v>
      </x:c>
      <x:c r="B78" s="20" t="n">
        <x:v>2</x:v>
      </x:c>
      <x:c r="C78" s="563" t="n">
        <x:f>'_計算月次'!$J$6</x:f>
        <x:v>472.4508339500229</x:v>
      </x:c>
      <x:c r="D78" s="563" t="n">
        <x:f>'_計算月次'!$K$6</x:f>
        <x:v>405</x:v>
      </x:c>
      <x:c r="E78" s="585" t="n">
        <x:f>(1-MAX(MIN('詳細設定'!$D$16,0.999999),0))^(A78-1)</x:f>
        <x:v>1</x:v>
      </x:c>
      <x:c r="F78" s="563" t="n">
        <x:f>MAX(C78*E78,0)</x:f>
        <x:v>472.4508339500229</x:v>
      </x:c>
      <x:c r="G78" s="563" t="n">
        <x:f>MAX(MIN('詳細設定'!$D$15,1),0)</x:f>
        <x:v>0.4</x:v>
      </x:c>
      <x:c r="H78" s="563" t="n">
        <x:f>MAX(MIN(F78*G78,D78),0)</x:f>
        <x:v>188.9803335800092</x:v>
      </x:c>
      <x:c r="I78" s="563" t="n">
        <x:f>MAX(F78-H78,0)</x:f>
        <x:v>283.4705003700137</x:v>
      </x:c>
      <x:c r="J78" s="185" t="n">
        <x:f>MAX('詳細設定'!$D$6,0)*(1+'詳細設定'!$D$21)^(A78-1)</x:f>
        <x:v>37.153205271035006</x:v>
      </x:c>
      <x:c r="K78" s="185" t="n">
        <x:f>IF(A78&lt;=MAX(MIN('詳細設定'!$D$8,20),0),MAX('詳細設定'!$D$7,0),IF(A78&lt;=MAX(MIN('詳細設定'!$D$10,20),0),MAX('詳細設定'!$D$9,0),MAX('詳細設定'!$D$11,0)))</x:f>
        <x:v>8.3</x:v>
      </x:c>
      <x:c r="L78" s="190" t="n">
        <x:f>H78*J78</x:f>
        <x:v>7021.225125686751</x:v>
      </x:c>
      <x:c r="M78" s="190" t="n">
        <x:f>I78*K78</x:f>
        <x:v>2352.805153071114</x:v>
      </x:c>
      <x:c r="N78" s="190" t="n">
        <x:f>L78+M78</x:f>
        <x:v>9374.030278757866</x:v>
      </x:c>
      <x:c r="O78" s="196" t="n">
        <x:f>F78-H78-I78</x:f>
        <x:v>0</x:v>
      </x:c>
    </x:row>
    <x:row r="79">
      <x:c r="A79" s="20" t="n">
        <x:v>7</x:v>
      </x:c>
      <x:c r="B79" s="20" t="n">
        <x:v>3</x:v>
      </x:c>
      <x:c r="C79" s="563" t="n">
        <x:f>'_計算月次'!$J$7</x:f>
        <x:v>548.3418864753118</x:v>
      </x:c>
      <x:c r="D79" s="563" t="n">
        <x:f>'_計算月次'!$K$7</x:f>
        <x:v>360</x:v>
      </x:c>
      <x:c r="E79" s="585" t="n">
        <x:f>(1-MAX(MIN('詳細設定'!$D$16,0.999999),0))^(A79-1)</x:f>
        <x:v>1</x:v>
      </x:c>
      <x:c r="F79" s="563" t="n">
        <x:f>MAX(C79*E79,0)</x:f>
        <x:v>548.3418864753118</x:v>
      </x:c>
      <x:c r="G79" s="563" t="n">
        <x:f>MAX(MIN('詳細設定'!$D$15,1),0)</x:f>
        <x:v>0.4</x:v>
      </x:c>
      <x:c r="H79" s="563" t="n">
        <x:f>MAX(MIN(F79*G79,D79),0)</x:f>
        <x:v>219.3367545901247</x:v>
      </x:c>
      <x:c r="I79" s="563" t="n">
        <x:f>MAX(F79-H79,0)</x:f>
        <x:v>329.00513188518704</x:v>
      </x:c>
      <x:c r="J79" s="185" t="n">
        <x:f>MAX('詳細設定'!$D$6,0)*(1+'詳細設定'!$D$21)^(A79-1)</x:f>
        <x:v>37.153205271035006</x:v>
      </x:c>
      <x:c r="K79" s="185" t="n">
        <x:f>IF(A79&lt;=MAX(MIN('詳細設定'!$D$8,20),0),MAX('詳細設定'!$D$7,0),IF(A79&lt;=MAX(MIN('詳細設定'!$D$10,20),0),MAX('詳細設定'!$D$9,0),MAX('詳細設定'!$D$11,0)))</x:f>
        <x:v>8.3</x:v>
      </x:c>
      <x:c r="L79" s="190" t="n">
        <x:f>H79*J79</x:f>
        <x:v>8149.063466769533</x:v>
      </x:c>
      <x:c r="M79" s="190" t="n">
        <x:f>I79*K79</x:f>
        <x:v>2730.7425946470526</x:v>
      </x:c>
      <x:c r="N79" s="190" t="n">
        <x:f>L79+M79</x:f>
        <x:v>10879.806061416586</x:v>
      </x:c>
      <x:c r="O79" s="196" t="n">
        <x:f>F79-H79-I79</x:f>
        <x:v>0</x:v>
      </x:c>
    </x:row>
    <x:row r="80">
      <x:c r="A80" s="20" t="n">
        <x:v>7</x:v>
      </x:c>
      <x:c r="B80" s="20" t="n">
        <x:v>4</x:v>
      </x:c>
      <x:c r="C80" s="563" t="n">
        <x:f>'_計算月次'!$J$8</x:f>
        <x:v>548.3944393749554</x:v>
      </x:c>
      <x:c r="D80" s="563" t="n">
        <x:f>'_計算月次'!$K$8</x:f>
        <x:v>315.00000000000006</x:v>
      </x:c>
      <x:c r="E80" s="585" t="n">
        <x:f>(1-MAX(MIN('詳細設定'!$D$16,0.999999),0))^(A80-1)</x:f>
        <x:v>1</x:v>
      </x:c>
      <x:c r="F80" s="563" t="n">
        <x:f>MAX(C80*E80,0)</x:f>
        <x:v>548.3944393749554</x:v>
      </x:c>
      <x:c r="G80" s="563" t="n">
        <x:f>MAX(MIN('詳細設定'!$D$15,1),0)</x:f>
        <x:v>0.4</x:v>
      </x:c>
      <x:c r="H80" s="563" t="n">
        <x:f>MAX(MIN(F80*G80,D80),0)</x:f>
        <x:v>219.35777574998215</x:v>
      </x:c>
      <x:c r="I80" s="563" t="n">
        <x:f>MAX(F80-H80,0)</x:f>
        <x:v>329.03666362497324</x:v>
      </x:c>
      <x:c r="J80" s="185" t="n">
        <x:f>MAX('詳細設定'!$D$6,0)*(1+'詳細設定'!$D$21)^(A80-1)</x:f>
        <x:v>37.153205271035006</x:v>
      </x:c>
      <x:c r="K80" s="185" t="n">
        <x:f>IF(A80&lt;=MAX(MIN('詳細設定'!$D$8,20),0),MAX('詳細設定'!$D$7,0),IF(A80&lt;=MAX(MIN('詳細設定'!$D$10,20),0),MAX('詳細設定'!$D$9,0),MAX('詳細設定'!$D$11,0)))</x:f>
        <x:v>8.3</x:v>
      </x:c>
      <x:c r="L80" s="190" t="n">
        <x:f>H80*J80</x:f>
        <x:v>8149.8444702367515</x:v>
      </x:c>
      <x:c r="M80" s="190" t="n">
        <x:f>I80*K80</x:f>
        <x:v>2731.0043080872783</x:v>
      </x:c>
      <x:c r="N80" s="190" t="n">
        <x:f>L80+M80</x:f>
        <x:v>10880.84877832403</x:v>
      </x:c>
      <x:c r="O80" s="196" t="n">
        <x:f>F80-H80-I80</x:f>
        <x:v>0</x:v>
      </x:c>
    </x:row>
    <x:row r="81">
      <x:c r="A81" s="20" t="n">
        <x:v>7</x:v>
      </x:c>
      <x:c r="B81" s="20" t="n">
        <x:v>5</x:v>
      </x:c>
      <x:c r="C81" s="563" t="n">
        <x:f>'_計算月次'!$J$9</x:f>
        <x:v>552.2367574934775</x:v>
      </x:c>
      <x:c r="D81" s="563" t="n">
        <x:f>'_計算月次'!$K$9</x:f>
        <x:v>315.00000000000006</x:v>
      </x:c>
      <x:c r="E81" s="585" t="n">
        <x:f>(1-MAX(MIN('詳細設定'!$D$16,0.999999),0))^(A81-1)</x:f>
        <x:v>1</x:v>
      </x:c>
      <x:c r="F81" s="563" t="n">
        <x:f>MAX(C81*E81,0)</x:f>
        <x:v>552.2367574934775</x:v>
      </x:c>
      <x:c r="G81" s="563" t="n">
        <x:f>MAX(MIN('詳細設定'!$D$15,1),0)</x:f>
        <x:v>0.4</x:v>
      </x:c>
      <x:c r="H81" s="563" t="n">
        <x:f>MAX(MIN(F81*G81,D81),0)</x:f>
        <x:v>220.89470299739102</x:v>
      </x:c>
      <x:c r="I81" s="563" t="n">
        <x:f>MAX(F81-H81,0)</x:f>
        <x:v>331.34205449608646</x:v>
      </x:c>
      <x:c r="J81" s="185" t="n">
        <x:f>MAX('詳細設定'!$D$6,0)*(1+'詳細設定'!$D$21)^(A81-1)</x:f>
        <x:v>37.153205271035006</x:v>
      </x:c>
      <x:c r="K81" s="185" t="n">
        <x:f>IF(A81&lt;=MAX(MIN('詳細設定'!$D$8,20),0),MAX('詳細設定'!$D$7,0),IF(A81&lt;=MAX(MIN('詳細設定'!$D$10,20),0),MAX('詳細設定'!$D$9,0),MAX('詳細設定'!$D$11,0)))</x:f>
        <x:v>8.3</x:v>
      </x:c>
      <x:c r="L81" s="190" t="n">
        <x:f>H81*J81</x:f>
        <x:v>8206.94624374638</x:v>
      </x:c>
      <x:c r="M81" s="190" t="n">
        <x:f>I81*K81</x:f>
        <x:v>2750.139052317518</x:v>
      </x:c>
      <x:c r="N81" s="190" t="n">
        <x:f>L81+M81</x:f>
        <x:v>10957.085296063899</x:v>
      </x:c>
      <x:c r="O81" s="196" t="n">
        <x:f>F81-H81-I81</x:f>
        <x:v>0</x:v>
      </x:c>
    </x:row>
    <x:row r="82">
      <x:c r="A82" s="20" t="n">
        <x:v>7</x:v>
      </x:c>
      <x:c r="B82" s="20" t="n">
        <x:v>6</x:v>
      </x:c>
      <x:c r="C82" s="563" t="n">
        <x:f>'_計算月次'!$J$10</x:f>
        <x:v>448.7994857612148</x:v>
      </x:c>
      <x:c r="D82" s="563" t="n">
        <x:f>'_計算月次'!$K$10</x:f>
        <x:v>360</x:v>
      </x:c>
      <x:c r="E82" s="585" t="n">
        <x:f>(1-MAX(MIN('詳細設定'!$D$16,0.999999),0))^(A82-1)</x:f>
        <x:v>1</x:v>
      </x:c>
      <x:c r="F82" s="563" t="n">
        <x:f>MAX(C82*E82,0)</x:f>
        <x:v>448.7994857612148</x:v>
      </x:c>
      <x:c r="G82" s="563" t="n">
        <x:f>MAX(MIN('詳細設定'!$D$15,1),0)</x:f>
        <x:v>0.4</x:v>
      </x:c>
      <x:c r="H82" s="563" t="n">
        <x:f>MAX(MIN(F82*G82,D82),0)</x:f>
        <x:v>179.5197943044859</x:v>
      </x:c>
      <x:c r="I82" s="563" t="n">
        <x:f>MAX(F82-H82,0)</x:f>
        <x:v>269.27969145672887</x:v>
      </x:c>
      <x:c r="J82" s="185" t="n">
        <x:f>MAX('詳細設定'!$D$6,0)*(1+'詳細設定'!$D$21)^(A82-1)</x:f>
        <x:v>37.153205271035006</x:v>
      </x:c>
      <x:c r="K82" s="185" t="n">
        <x:f>IF(A82&lt;=MAX(MIN('詳細設定'!$D$8,20),0),MAX('詳細設定'!$D$7,0),IF(A82&lt;=MAX(MIN('詳細設定'!$D$10,20),0),MAX('詳細設定'!$D$9,0),MAX('詳細設定'!$D$11,0)))</x:f>
        <x:v>8.3</x:v>
      </x:c>
      <x:c r="L82" s="190" t="n">
        <x:f>H82*J82</x:f>
        <x:v>6669.735768008546</x:v>
      </x:c>
      <x:c r="M82" s="190" t="n">
        <x:f>I82*K82</x:f>
        <x:v>2235.02143909085</x:v>
      </x:c>
      <x:c r="N82" s="190" t="n">
        <x:f>L82+M82</x:f>
        <x:v>8904.757207099396</x:v>
      </x:c>
      <x:c r="O82" s="196" t="n">
        <x:f>F82-H82-I82</x:f>
        <x:v>0</x:v>
      </x:c>
    </x:row>
    <x:row r="83">
      <x:c r="A83" s="20" t="n">
        <x:v>7</x:v>
      </x:c>
      <x:c r="B83" s="20" t="n">
        <x:v>7</x:v>
      </x:c>
      <x:c r="C83" s="563" t="n">
        <x:f>'_計算月次'!$J$11</x:f>
        <x:v>476.0181638067866</x:v>
      </x:c>
      <x:c r="D83" s="563" t="n">
        <x:f>'_計算月次'!$K$11</x:f>
        <x:v>405</x:v>
      </x:c>
      <x:c r="E83" s="585" t="n">
        <x:f>(1-MAX(MIN('詳細設定'!$D$16,0.999999),0))^(A83-1)</x:f>
        <x:v>1</x:v>
      </x:c>
      <x:c r="F83" s="563" t="n">
        <x:f>MAX(C83*E83,0)</x:f>
        <x:v>476.0181638067866</x:v>
      </x:c>
      <x:c r="G83" s="563" t="n">
        <x:f>MAX(MIN('詳細設定'!$D$15,1),0)</x:f>
        <x:v>0.4</x:v>
      </x:c>
      <x:c r="H83" s="563" t="n">
        <x:f>MAX(MIN(F83*G83,D83),0)</x:f>
        <x:v>190.40726552271465</x:v>
      </x:c>
      <x:c r="I83" s="563" t="n">
        <x:f>MAX(F83-H83,0)</x:f>
        <x:v>285.61089828407194</x:v>
      </x:c>
      <x:c r="J83" s="185" t="n">
        <x:f>MAX('詳細設定'!$D$6,0)*(1+'詳細設定'!$D$21)^(A83-1)</x:f>
        <x:v>37.153205271035006</x:v>
      </x:c>
      <x:c r="K83" s="185" t="n">
        <x:f>IF(A83&lt;=MAX(MIN('詳細設定'!$D$8,20),0),MAX('詳細設定'!$D$7,0),IF(A83&lt;=MAX(MIN('詳細設定'!$D$10,20),0),MAX('詳細設定'!$D$9,0),MAX('詳細設定'!$D$11,0)))</x:f>
        <x:v>8.3</x:v>
      </x:c>
      <x:c r="L83" s="190" t="n">
        <x:f>H83*J83</x:f>
        <x:v>7074.240221061884</x:v>
      </x:c>
      <x:c r="M83" s="190" t="n">
        <x:f>I83*K83</x:f>
        <x:v>2370.5704557577974</x:v>
      </x:c>
      <x:c r="N83" s="190" t="n">
        <x:f>L83+M83</x:f>
        <x:v>9444.810676819681</x:v>
      </x:c>
      <x:c r="O83" s="196" t="n">
        <x:f>F83-H83-I83</x:f>
        <x:v>0</x:v>
      </x:c>
    </x:row>
    <x:row r="84">
      <x:c r="A84" s="20" t="n">
        <x:v>7</x:v>
      </x:c>
      <x:c r="B84" s="20" t="n">
        <x:v>8</x:v>
      </x:c>
      <x:c r="C84" s="563" t="n">
        <x:f>'_計算月次'!$J$12</x:f>
        <x:v>528.6548067323699</x:v>
      </x:c>
      <x:c r="D84" s="563" t="n">
        <x:f>'_計算月次'!$K$12</x:f>
        <x:v>450</x:v>
      </x:c>
      <x:c r="E84" s="585" t="n">
        <x:f>(1-MAX(MIN('詳細設定'!$D$16,0.999999),0))^(A84-1)</x:f>
        <x:v>1</x:v>
      </x:c>
      <x:c r="F84" s="563" t="n">
        <x:f>MAX(C84*E84,0)</x:f>
        <x:v>528.6548067323699</x:v>
      </x:c>
      <x:c r="G84" s="563" t="n">
        <x:f>MAX(MIN('詳細設定'!$D$15,1),0)</x:f>
        <x:v>0.4</x:v>
      </x:c>
      <x:c r="H84" s="563" t="n">
        <x:f>MAX(MIN(F84*G84,D84),0)</x:f>
        <x:v>211.46192269294798</x:v>
      </x:c>
      <x:c r="I84" s="563" t="n">
        <x:f>MAX(F84-H84,0)</x:f>
        <x:v>317.192884039422</x:v>
      </x:c>
      <x:c r="J84" s="185" t="n">
        <x:f>MAX('詳細設定'!$D$6,0)*(1+'詳細設定'!$D$21)^(A84-1)</x:f>
        <x:v>37.153205271035006</x:v>
      </x:c>
      <x:c r="K84" s="185" t="n">
        <x:f>IF(A84&lt;=MAX(MIN('詳細設定'!$D$8,20),0),MAX('詳細設定'!$D$7,0),IF(A84&lt;=MAX(MIN('詳細設定'!$D$10,20),0),MAX('詳細設定'!$D$9,0),MAX('詳細設定'!$D$11,0)))</x:f>
        <x:v>8.3</x:v>
      </x:c>
      <x:c r="L84" s="190" t="n">
        <x:f>H84*J84</x:f>
        <x:v>7856.488220818832</x:v>
      </x:c>
      <x:c r="M84" s="190" t="n">
        <x:f>I84*K84</x:f>
        <x:v>2632.7009375272028</x:v>
      </x:c>
      <x:c r="N84" s="190" t="n">
        <x:f>L84+M84</x:f>
        <x:v>10489.189158346035</x:v>
      </x:c>
      <x:c r="O84" s="196" t="n">
        <x:f>F84-H84-I84</x:f>
        <x:v>0</x:v>
      </x:c>
    </x:row>
    <x:row r="85">
      <x:c r="A85" s="20" t="n">
        <x:v>7</x:v>
      </x:c>
      <x:c r="B85" s="20" t="n">
        <x:v>9</x:v>
      </x:c>
      <x:c r="C85" s="563" t="n">
        <x:f>'_計算月次'!$J$13</x:f>
        <x:v>436.37734765103465</x:v>
      </x:c>
      <x:c r="D85" s="563" t="n">
        <x:f>'_計算月次'!$K$13</x:f>
        <x:v>360</x:v>
      </x:c>
      <x:c r="E85" s="585" t="n">
        <x:f>(1-MAX(MIN('詳細設定'!$D$16,0.999999),0))^(A85-1)</x:f>
        <x:v>1</x:v>
      </x:c>
      <x:c r="F85" s="563" t="n">
        <x:f>MAX(C85*E85,0)</x:f>
        <x:v>436.37734765103465</x:v>
      </x:c>
      <x:c r="G85" s="563" t="n">
        <x:f>MAX(MIN('詳細設定'!$D$15,1),0)</x:f>
        <x:v>0.4</x:v>
      </x:c>
      <x:c r="H85" s="563" t="n">
        <x:f>MAX(MIN(F85*G85,D85),0)</x:f>
        <x:v>174.55093906041387</x:v>
      </x:c>
      <x:c r="I85" s="563" t="n">
        <x:f>MAX(F85-H85,0)</x:f>
        <x:v>261.82640859062076</x:v>
      </x:c>
      <x:c r="J85" s="185" t="n">
        <x:f>MAX('詳細設定'!$D$6,0)*(1+'詳細設定'!$D$21)^(A85-1)</x:f>
        <x:v>37.153205271035006</x:v>
      </x:c>
      <x:c r="K85" s="185" t="n">
        <x:f>IF(A85&lt;=MAX(MIN('詳細設定'!$D$8,20),0),MAX('詳細設定'!$D$7,0),IF(A85&lt;=MAX(MIN('詳細設定'!$D$10,20),0),MAX('詳細設定'!$D$9,0),MAX('詳細設定'!$D$11,0)))</x:f>
        <x:v>8.3</x:v>
      </x:c>
      <x:c r="L85" s="190" t="n">
        <x:f>H85*J85</x:f>
        <x:v>6485.126869163479</x:v>
      </x:c>
      <x:c r="M85" s="190" t="n">
        <x:f>I85*K85</x:f>
        <x:v>2173.1591913021525</x:v>
      </x:c>
      <x:c r="N85" s="190" t="n">
        <x:f>L85+M85</x:f>
        <x:v>8658.28606046563</x:v>
      </x:c>
      <x:c r="O85" s="196" t="n">
        <x:f>F85-H85-I85</x:f>
        <x:v>0</x:v>
      </x:c>
    </x:row>
    <x:row r="86">
      <x:c r="A86" s="20" t="n">
        <x:v>7</x:v>
      </x:c>
      <x:c r="B86" s="20" t="n">
        <x:v>10</x:v>
      </x:c>
      <x:c r="C86" s="563" t="n">
        <x:f>'_計算月次'!$J$14</x:f>
        <x:v>408.8269849869007</x:v>
      </x:c>
      <x:c r="D86" s="563" t="n">
        <x:f>'_計算月次'!$K$14</x:f>
        <x:v>315.00000000000006</x:v>
      </x:c>
      <x:c r="E86" s="585" t="n">
        <x:f>(1-MAX(MIN('詳細設定'!$D$16,0.999999),0))^(A86-1)</x:f>
        <x:v>1</x:v>
      </x:c>
      <x:c r="F86" s="563" t="n">
        <x:f>MAX(C86*E86,0)</x:f>
        <x:v>408.8269849869007</x:v>
      </x:c>
      <x:c r="G86" s="563" t="n">
        <x:f>MAX(MIN('詳細設定'!$D$15,1),0)</x:f>
        <x:v>0.4</x:v>
      </x:c>
      <x:c r="H86" s="563" t="n">
        <x:f>MAX(MIN(F86*G86,D86),0)</x:f>
        <x:v>163.5307939947603</x:v>
      </x:c>
      <x:c r="I86" s="563" t="n">
        <x:f>MAX(F86-H86,0)</x:f>
        <x:v>245.2961909921404</x:v>
      </x:c>
      <x:c r="J86" s="185" t="n">
        <x:f>MAX('詳細設定'!$D$6,0)*(1+'詳細設定'!$D$21)^(A86-1)</x:f>
        <x:v>37.153205271035006</x:v>
      </x:c>
      <x:c r="K86" s="185" t="n">
        <x:f>IF(A86&lt;=MAX(MIN('詳細設定'!$D$8,20),0),MAX('詳細設定'!$D$7,0),IF(A86&lt;=MAX(MIN('詳細設定'!$D$10,20),0),MAX('詳細設定'!$D$9,0),MAX('詳細設定'!$D$11,0)))</x:f>
        <x:v>8.3</x:v>
      </x:c>
      <x:c r="L86" s="190" t="n">
        <x:f>H86*J86</x:f>
        <x:v>6075.693157422668</x:v>
      </x:c>
      <x:c r="M86" s="190" t="n">
        <x:f>I86*K86</x:f>
        <x:v>2035.9583852347655</x:v>
      </x:c>
      <x:c r="N86" s="190" t="n">
        <x:f>L86+M86</x:f>
        <x:v>8111.651542657433</x:v>
      </x:c>
      <x:c r="O86" s="196" t="n">
        <x:f>F86-H86-I86</x:f>
        <x:v>0</x:v>
      </x:c>
    </x:row>
    <x:row r="87">
      <x:c r="A87" s="20" t="n">
        <x:v>7</x:v>
      </x:c>
      <x:c r="B87" s="20" t="n">
        <x:v>11</x:v>
      </x:c>
      <x:c r="C87" s="563" t="n">
        <x:f>'_計算月次'!$J$15</x:f>
        <x:v>398.45169764745054</x:v>
      </x:c>
      <x:c r="D87" s="563" t="n">
        <x:f>'_計算月次'!$K$15</x:f>
        <x:v>360</x:v>
      </x:c>
      <x:c r="E87" s="585" t="n">
        <x:f>(1-MAX(MIN('詳細設定'!$D$16,0.999999),0))^(A87-1)</x:f>
        <x:v>1</x:v>
      </x:c>
      <x:c r="F87" s="563" t="n">
        <x:f>MAX(C87*E87,0)</x:f>
        <x:v>398.45169764745054</x:v>
      </x:c>
      <x:c r="G87" s="563" t="n">
        <x:f>MAX(MIN('詳細設定'!$D$15,1),0)</x:f>
        <x:v>0.4</x:v>
      </x:c>
      <x:c r="H87" s="563" t="n">
        <x:f>MAX(MIN(F87*G87,D87),0)</x:f>
        <x:v>159.38067905898023</x:v>
      </x:c>
      <x:c r="I87" s="563" t="n">
        <x:f>MAX(F87-H87,0)</x:f>
        <x:v>239.0710185884703</x:v>
      </x:c>
      <x:c r="J87" s="185" t="n">
        <x:f>MAX('詳細設定'!$D$6,0)*(1+'詳細設定'!$D$21)^(A87-1)</x:f>
        <x:v>37.153205271035006</x:v>
      </x:c>
      <x:c r="K87" s="185" t="n">
        <x:f>IF(A87&lt;=MAX(MIN('詳細設定'!$D$8,20),0),MAX('詳細設定'!$D$7,0),IF(A87&lt;=MAX(MIN('詳細設定'!$D$10,20),0),MAX('詳細設定'!$D$9,0),MAX('詳細設定'!$D$11,0)))</x:f>
        <x:v>8.3</x:v>
      </x:c>
      <x:c r="L87" s="190" t="n">
        <x:f>H87*J87</x:f>
        <x:v>5921.503085315243</x:v>
      </x:c>
      <x:c r="M87" s="190" t="n">
        <x:f>I87*K87</x:f>
        <x:v>1984.2894542843037</x:v>
      </x:c>
      <x:c r="N87" s="190" t="n">
        <x:f>L87+M87</x:f>
        <x:v>7905.792539599546</x:v>
      </x:c>
      <x:c r="O87" s="196" t="n">
        <x:f>F87-H87-I87</x:f>
        <x:v>0</x:v>
      </x:c>
    </x:row>
    <x:row r="88">
      <x:c r="A88" s="20" t="n">
        <x:v>7</x:v>
      </x:c>
      <x:c r="B88" s="20" t="n">
        <x:v>12</x:v>
      </x:c>
      <x:c r="C88" s="563" t="n">
        <x:f>'_計算月次'!$J$16</x:f>
        <x:v>443.97248688000184</x:v>
      </x:c>
      <x:c r="D88" s="563" t="n">
        <x:f>'_計算月次'!$K$16</x:f>
        <x:v>405</x:v>
      </x:c>
      <x:c r="E88" s="585" t="n">
        <x:f>(1-MAX(MIN('詳細設定'!$D$16,0.999999),0))^(A88-1)</x:f>
        <x:v>1</x:v>
      </x:c>
      <x:c r="F88" s="563" t="n">
        <x:f>MAX(C88*E88,0)</x:f>
        <x:v>443.97248688000184</x:v>
      </x:c>
      <x:c r="G88" s="563" t="n">
        <x:f>MAX(MIN('詳細設定'!$D$15,1),0)</x:f>
        <x:v>0.4</x:v>
      </x:c>
      <x:c r="H88" s="563" t="n">
        <x:f>MAX(MIN(F88*G88,D88),0)</x:f>
        <x:v>177.58899475200076</x:v>
      </x:c>
      <x:c r="I88" s="563" t="n">
        <x:f>MAX(F88-H88,0)</x:f>
        <x:v>266.3834921280011</x:v>
      </x:c>
      <x:c r="J88" s="185" t="n">
        <x:f>MAX('詳細設定'!$D$6,0)*(1+'詳細設定'!$D$21)^(A88-1)</x:f>
        <x:v>37.153205271035006</x:v>
      </x:c>
      <x:c r="K88" s="185" t="n">
        <x:f>IF(A88&lt;=MAX(MIN('詳細設定'!$D$8,20),0),MAX('詳細設定'!$D$7,0),IF(A88&lt;=MAX(MIN('詳細設定'!$D$10,20),0),MAX('詳細設定'!$D$9,0),MAX('詳細設定'!$D$11,0)))</x:f>
        <x:v>8.3</x:v>
      </x:c>
      <x:c r="L88" s="190" t="n">
        <x:f>H88*J88</x:f>
        <x:v>6598.000375897843</x:v>
      </x:c>
      <x:c r="M88" s="190" t="n">
        <x:f>I88*K88</x:f>
        <x:v>2210.9829846624093</x:v>
      </x:c>
      <x:c r="N88" s="190" t="n">
        <x:f>L88+M88</x:f>
        <x:v>8808.983360560253</x:v>
      </x:c>
      <x:c r="O88" s="196" t="n">
        <x:f>F88-H88-I88</x:f>
        <x:v>0</x:v>
      </x:c>
    </x:row>
    <x:row r="89">
      <x:c r="A89" s="20" t="n">
        <x:v>8</x:v>
      </x:c>
      <x:c r="B89" s="20" t="n">
        <x:v>1</x:v>
      </x:c>
      <x:c r="C89" s="563" t="n">
        <x:f>'_計算月次'!$J$5</x:f>
        <x:v>502.4147595742038</x:v>
      </x:c>
      <x:c r="D89" s="563" t="n">
        <x:f>'_計算月次'!$K$5</x:f>
        <x:v>450</x:v>
      </x:c>
      <x:c r="E89" s="585" t="n">
        <x:f>(1-MAX(MIN('詳細設定'!$D$16,0.999999),0))^(A89-1)</x:f>
        <x:v>1</x:v>
      </x:c>
      <x:c r="F89" s="563" t="n">
        <x:f>MAX(C89*E89,0)</x:f>
        <x:v>502.4147595742038</x:v>
      </x:c>
      <x:c r="G89" s="563" t="n">
        <x:f>MAX(MIN('詳細設定'!$D$15,1),0)</x:f>
        <x:v>0.4</x:v>
      </x:c>
      <x:c r="H89" s="563" t="n">
        <x:f>MAX(MIN(F89*G89,D89),0)</x:f>
        <x:v>200.96590382968154</x:v>
      </x:c>
      <x:c r="I89" s="563" t="n">
        <x:f>MAX(F89-H89,0)</x:f>
        <x:v>301.44885574452223</x:v>
      </x:c>
      <x:c r="J89" s="185" t="n">
        <x:f>MAX('詳細設定'!$D$6,0)*(1+'詳細設定'!$D$21)^(A89-1)</x:f>
        <x:v>37.52473732374535</x:v>
      </x:c>
      <x:c r="K89" s="185" t="n">
        <x:f>IF(A89&lt;=MAX(MIN('詳細設定'!$D$8,20),0),MAX('詳細設定'!$D$7,0),IF(A89&lt;=MAX(MIN('詳細設定'!$D$10,20),0),MAX('詳細設定'!$D$9,0),MAX('詳細設定'!$D$11,0)))</x:f>
        <x:v>8.3</x:v>
      </x:c>
      <x:c r="L89" s="190" t="n">
        <x:f>H89*J89</x:f>
        <x:v>7541.192752237869</x:v>
      </x:c>
      <x:c r="M89" s="190" t="n">
        <x:f>I89*K89</x:f>
        <x:v>2502.025502679535</x:v>
      </x:c>
      <x:c r="N89" s="190" t="n">
        <x:f>L89+M89</x:f>
        <x:v>10043.218254917403</x:v>
      </x:c>
      <x:c r="O89" s="196" t="n">
        <x:f>F89-H89-I89</x:f>
        <x:v>0</x:v>
      </x:c>
    </x:row>
    <x:row r="90">
      <x:c r="A90" s="20" t="n">
        <x:v>8</x:v>
      </x:c>
      <x:c r="B90" s="20" t="n">
        <x:v>2</x:v>
      </x:c>
      <x:c r="C90" s="563" t="n">
        <x:f>'_計算月次'!$J$6</x:f>
        <x:v>472.4508339500229</x:v>
      </x:c>
      <x:c r="D90" s="563" t="n">
        <x:f>'_計算月次'!$K$6</x:f>
        <x:v>405</x:v>
      </x:c>
      <x:c r="E90" s="585" t="n">
        <x:f>(1-MAX(MIN('詳細設定'!$D$16,0.999999),0))^(A90-1)</x:f>
        <x:v>1</x:v>
      </x:c>
      <x:c r="F90" s="563" t="n">
        <x:f>MAX(C90*E90,0)</x:f>
        <x:v>472.4508339500229</x:v>
      </x:c>
      <x:c r="G90" s="563" t="n">
        <x:f>MAX(MIN('詳細設定'!$D$15,1),0)</x:f>
        <x:v>0.4</x:v>
      </x:c>
      <x:c r="H90" s="563" t="n">
        <x:f>MAX(MIN(F90*G90,D90),0)</x:f>
        <x:v>188.9803335800092</x:v>
      </x:c>
      <x:c r="I90" s="563" t="n">
        <x:f>MAX(F90-H90,0)</x:f>
        <x:v>283.4705003700137</x:v>
      </x:c>
      <x:c r="J90" s="185" t="n">
        <x:f>MAX('詳細設定'!$D$6,0)*(1+'詳細設定'!$D$21)^(A90-1)</x:f>
        <x:v>37.52473732374535</x:v>
      </x:c>
      <x:c r="K90" s="185" t="n">
        <x:f>IF(A90&lt;=MAX(MIN('詳細設定'!$D$8,20),0),MAX('詳細設定'!$D$7,0),IF(A90&lt;=MAX(MIN('詳細設定'!$D$10,20),0),MAX('詳細設定'!$D$9,0),MAX('詳細設定'!$D$11,0)))</x:f>
        <x:v>8.3</x:v>
      </x:c>
      <x:c r="L90" s="190" t="n">
        <x:f>H90*J90</x:f>
        <x:v>7091.437376943617</x:v>
      </x:c>
      <x:c r="M90" s="190" t="n">
        <x:f>I90*K90</x:f>
        <x:v>2352.805153071114</x:v>
      </x:c>
      <x:c r="N90" s="190" t="n">
        <x:f>L90+M90</x:f>
        <x:v>9444.242530014732</x:v>
      </x:c>
      <x:c r="O90" s="196" t="n">
        <x:f>F90-H90-I90</x:f>
        <x:v>0</x:v>
      </x:c>
    </x:row>
    <x:row r="91">
      <x:c r="A91" s="20" t="n">
        <x:v>8</x:v>
      </x:c>
      <x:c r="B91" s="20" t="n">
        <x:v>3</x:v>
      </x:c>
      <x:c r="C91" s="563" t="n">
        <x:f>'_計算月次'!$J$7</x:f>
        <x:v>548.3418864753118</x:v>
      </x:c>
      <x:c r="D91" s="563" t="n">
        <x:f>'_計算月次'!$K$7</x:f>
        <x:v>360</x:v>
      </x:c>
      <x:c r="E91" s="585" t="n">
        <x:f>(1-MAX(MIN('詳細設定'!$D$16,0.999999),0))^(A91-1)</x:f>
        <x:v>1</x:v>
      </x:c>
      <x:c r="F91" s="563" t="n">
        <x:f>MAX(C91*E91,0)</x:f>
        <x:v>548.3418864753118</x:v>
      </x:c>
      <x:c r="G91" s="563" t="n">
        <x:f>MAX(MIN('詳細設定'!$D$15,1),0)</x:f>
        <x:v>0.4</x:v>
      </x:c>
      <x:c r="H91" s="563" t="n">
        <x:f>MAX(MIN(F91*G91,D91),0)</x:f>
        <x:v>219.3367545901247</x:v>
      </x:c>
      <x:c r="I91" s="563" t="n">
        <x:f>MAX(F91-H91,0)</x:f>
        <x:v>329.00513188518704</x:v>
      </x:c>
      <x:c r="J91" s="185" t="n">
        <x:f>MAX('詳細設定'!$D$6,0)*(1+'詳細設定'!$D$21)^(A91-1)</x:f>
        <x:v>37.52473732374535</x:v>
      </x:c>
      <x:c r="K91" s="185" t="n">
        <x:f>IF(A91&lt;=MAX(MIN('詳細設定'!$D$8,20),0),MAX('詳細設定'!$D$7,0),IF(A91&lt;=MAX(MIN('詳細設定'!$D$10,20),0),MAX('詳細設定'!$D$9,0),MAX('詳細設定'!$D$11,0)))</x:f>
        <x:v>8.3</x:v>
      </x:c>
      <x:c r="L91" s="190" t="n">
        <x:f>H91*J91</x:f>
        <x:v>8230.554101437227</x:v>
      </x:c>
      <x:c r="M91" s="190" t="n">
        <x:f>I91*K91</x:f>
        <x:v>2730.7425946470526</x:v>
      </x:c>
      <x:c r="N91" s="190" t="n">
        <x:f>L91+M91</x:f>
        <x:v>10961.296696084279</x:v>
      </x:c>
      <x:c r="O91" s="196" t="n">
        <x:f>F91-H91-I91</x:f>
        <x:v>0</x:v>
      </x:c>
    </x:row>
    <x:row r="92">
      <x:c r="A92" s="20" t="n">
        <x:v>8</x:v>
      </x:c>
      <x:c r="B92" s="20" t="n">
        <x:v>4</x:v>
      </x:c>
      <x:c r="C92" s="563" t="n">
        <x:f>'_計算月次'!$J$8</x:f>
        <x:v>548.3944393749554</x:v>
      </x:c>
      <x:c r="D92" s="563" t="n">
        <x:f>'_計算月次'!$K$8</x:f>
        <x:v>315.00000000000006</x:v>
      </x:c>
      <x:c r="E92" s="585" t="n">
        <x:f>(1-MAX(MIN('詳細設定'!$D$16,0.999999),0))^(A92-1)</x:f>
        <x:v>1</x:v>
      </x:c>
      <x:c r="F92" s="563" t="n">
        <x:f>MAX(C92*E92,0)</x:f>
        <x:v>548.3944393749554</x:v>
      </x:c>
      <x:c r="G92" s="563" t="n">
        <x:f>MAX(MIN('詳細設定'!$D$15,1),0)</x:f>
        <x:v>0.4</x:v>
      </x:c>
      <x:c r="H92" s="563" t="n">
        <x:f>MAX(MIN(F92*G92,D92),0)</x:f>
        <x:v>219.35777574998215</x:v>
      </x:c>
      <x:c r="I92" s="563" t="n">
        <x:f>MAX(F92-H92,0)</x:f>
        <x:v>329.03666362497324</x:v>
      </x:c>
      <x:c r="J92" s="185" t="n">
        <x:f>MAX('詳細設定'!$D$6,0)*(1+'詳細設定'!$D$21)^(A92-1)</x:f>
        <x:v>37.52473732374535</x:v>
      </x:c>
      <x:c r="K92" s="185" t="n">
        <x:f>IF(A92&lt;=MAX(MIN('詳細設定'!$D$8,20),0),MAX('詳細設定'!$D$7,0),IF(A92&lt;=MAX(MIN('詳細設定'!$D$10,20),0),MAX('詳細設定'!$D$9,0),MAX('詳細設定'!$D$11,0)))</x:f>
        <x:v>8.3</x:v>
      </x:c>
      <x:c r="L92" s="190" t="n">
        <x:f>H92*J92</x:f>
        <x:v>8231.342914939118</x:v>
      </x:c>
      <x:c r="M92" s="190" t="n">
        <x:f>I92*K92</x:f>
        <x:v>2731.0043080872783</x:v>
      </x:c>
      <x:c r="N92" s="190" t="n">
        <x:f>L92+M92</x:f>
        <x:v>10962.347223026396</x:v>
      </x:c>
      <x:c r="O92" s="196" t="n">
        <x:f>F92-H92-I92</x:f>
        <x:v>0</x:v>
      </x:c>
    </x:row>
    <x:row r="93">
      <x:c r="A93" s="20" t="n">
        <x:v>8</x:v>
      </x:c>
      <x:c r="B93" s="20" t="n">
        <x:v>5</x:v>
      </x:c>
      <x:c r="C93" s="563" t="n">
        <x:f>'_計算月次'!$J$9</x:f>
        <x:v>552.2367574934775</x:v>
      </x:c>
      <x:c r="D93" s="563" t="n">
        <x:f>'_計算月次'!$K$9</x:f>
        <x:v>315.00000000000006</x:v>
      </x:c>
      <x:c r="E93" s="585" t="n">
        <x:f>(1-MAX(MIN('詳細設定'!$D$16,0.999999),0))^(A93-1)</x:f>
        <x:v>1</x:v>
      </x:c>
      <x:c r="F93" s="563" t="n">
        <x:f>MAX(C93*E93,0)</x:f>
        <x:v>552.2367574934775</x:v>
      </x:c>
      <x:c r="G93" s="563" t="n">
        <x:f>MAX(MIN('詳細設定'!$D$15,1),0)</x:f>
        <x:v>0.4</x:v>
      </x:c>
      <x:c r="H93" s="563" t="n">
        <x:f>MAX(MIN(F93*G93,D93),0)</x:f>
        <x:v>220.89470299739102</x:v>
      </x:c>
      <x:c r="I93" s="563" t="n">
        <x:f>MAX(F93-H93,0)</x:f>
        <x:v>331.34205449608646</x:v>
      </x:c>
      <x:c r="J93" s="185" t="n">
        <x:f>MAX('詳細設定'!$D$6,0)*(1+'詳細設定'!$D$21)^(A93-1)</x:f>
        <x:v>37.52473732374535</x:v>
      </x:c>
      <x:c r="K93" s="185" t="n">
        <x:f>IF(A93&lt;=MAX(MIN('詳細設定'!$D$8,20),0),MAX('詳細設定'!$D$7,0),IF(A93&lt;=MAX(MIN('詳細設定'!$D$10,20),0),MAX('詳細設定'!$D$9,0),MAX('詳細設定'!$D$11,0)))</x:f>
        <x:v>8.3</x:v>
      </x:c>
      <x:c r="L93" s="190" t="n">
        <x:f>H93*J93</x:f>
        <x:v>8289.015706183842</x:v>
      </x:c>
      <x:c r="M93" s="190" t="n">
        <x:f>I93*K93</x:f>
        <x:v>2750.139052317518</x:v>
      </x:c>
      <x:c r="N93" s="190" t="n">
        <x:f>L93+M93</x:f>
        <x:v>11039.15475850136</x:v>
      </x:c>
      <x:c r="O93" s="196" t="n">
        <x:f>F93-H93-I93</x:f>
        <x:v>0</x:v>
      </x:c>
    </x:row>
    <x:row r="94">
      <x:c r="A94" s="20" t="n">
        <x:v>8</x:v>
      </x:c>
      <x:c r="B94" s="20" t="n">
        <x:v>6</x:v>
      </x:c>
      <x:c r="C94" s="563" t="n">
        <x:f>'_計算月次'!$J$10</x:f>
        <x:v>448.7994857612148</x:v>
      </x:c>
      <x:c r="D94" s="563" t="n">
        <x:f>'_計算月次'!$K$10</x:f>
        <x:v>360</x:v>
      </x:c>
      <x:c r="E94" s="585" t="n">
        <x:f>(1-MAX(MIN('詳細設定'!$D$16,0.999999),0))^(A94-1)</x:f>
        <x:v>1</x:v>
      </x:c>
      <x:c r="F94" s="563" t="n">
        <x:f>MAX(C94*E94,0)</x:f>
        <x:v>448.7994857612148</x:v>
      </x:c>
      <x:c r="G94" s="563" t="n">
        <x:f>MAX(MIN('詳細設定'!$D$15,1),0)</x:f>
        <x:v>0.4</x:v>
      </x:c>
      <x:c r="H94" s="563" t="n">
        <x:f>MAX(MIN(F94*G94,D94),0)</x:f>
        <x:v>179.5197943044859</x:v>
      </x:c>
      <x:c r="I94" s="563" t="n">
        <x:f>MAX(F94-H94,0)</x:f>
        <x:v>269.27969145672887</x:v>
      </x:c>
      <x:c r="J94" s="185" t="n">
        <x:f>MAX('詳細設定'!$D$6,0)*(1+'詳細設定'!$D$21)^(A94-1)</x:f>
        <x:v>37.52473732374535</x:v>
      </x:c>
      <x:c r="K94" s="185" t="n">
        <x:f>IF(A94&lt;=MAX(MIN('詳細設定'!$D$8,20),0),MAX('詳細設定'!$D$7,0),IF(A94&lt;=MAX(MIN('詳細設定'!$D$10,20),0),MAX('詳細設定'!$D$9,0),MAX('詳細設定'!$D$11,0)))</x:f>
        <x:v>8.3</x:v>
      </x:c>
      <x:c r="L94" s="190" t="n">
        <x:f>H94*J94</x:f>
        <x:v>6736.43312568863</x:v>
      </x:c>
      <x:c r="M94" s="190" t="n">
        <x:f>I94*K94</x:f>
        <x:v>2235.02143909085</x:v>
      </x:c>
      <x:c r="N94" s="190" t="n">
        <x:f>L94+M94</x:f>
        <x:v>8971.45456477948</x:v>
      </x:c>
      <x:c r="O94" s="196" t="n">
        <x:f>F94-H94-I94</x:f>
        <x:v>0</x:v>
      </x:c>
    </x:row>
    <x:row r="95">
      <x:c r="A95" s="20" t="n">
        <x:v>8</x:v>
      </x:c>
      <x:c r="B95" s="20" t="n">
        <x:v>7</x:v>
      </x:c>
      <x:c r="C95" s="563" t="n">
        <x:f>'_計算月次'!$J$11</x:f>
        <x:v>476.0181638067866</x:v>
      </x:c>
      <x:c r="D95" s="563" t="n">
        <x:f>'_計算月次'!$K$11</x:f>
        <x:v>405</x:v>
      </x:c>
      <x:c r="E95" s="585" t="n">
        <x:f>(1-MAX(MIN('詳細設定'!$D$16,0.999999),0))^(A95-1)</x:f>
        <x:v>1</x:v>
      </x:c>
      <x:c r="F95" s="563" t="n">
        <x:f>MAX(C95*E95,0)</x:f>
        <x:v>476.0181638067866</x:v>
      </x:c>
      <x:c r="G95" s="563" t="n">
        <x:f>MAX(MIN('詳細設定'!$D$15,1),0)</x:f>
        <x:v>0.4</x:v>
      </x:c>
      <x:c r="H95" s="563" t="n">
        <x:f>MAX(MIN(F95*G95,D95),0)</x:f>
        <x:v>190.40726552271465</x:v>
      </x:c>
      <x:c r="I95" s="563" t="n">
        <x:f>MAX(F95-H95,0)</x:f>
        <x:v>285.61089828407194</x:v>
      </x:c>
      <x:c r="J95" s="185" t="n">
        <x:f>MAX('詳細設定'!$D$6,0)*(1+'詳細設定'!$D$21)^(A95-1)</x:f>
        <x:v>37.52473732374535</x:v>
      </x:c>
      <x:c r="K95" s="185" t="n">
        <x:f>IF(A95&lt;=MAX(MIN('詳細設定'!$D$8,20),0),MAX('詳細設定'!$D$7,0),IF(A95&lt;=MAX(MIN('詳細設定'!$D$10,20),0),MAX('詳細設定'!$D$9,0),MAX('詳細設定'!$D$11,0)))</x:f>
        <x:v>8.3</x:v>
      </x:c>
      <x:c r="L95" s="190" t="n">
        <x:f>H95*J95</x:f>
        <x:v>7144.982623272502</x:v>
      </x:c>
      <x:c r="M95" s="190" t="n">
        <x:f>I95*K95</x:f>
        <x:v>2370.5704557577974</x:v>
      </x:c>
      <x:c r="N95" s="190" t="n">
        <x:f>L95+M95</x:f>
        <x:v>9515.553079030298</x:v>
      </x:c>
      <x:c r="O95" s="196" t="n">
        <x:f>F95-H95-I95</x:f>
        <x:v>0</x:v>
      </x:c>
    </x:row>
    <x:row r="96">
      <x:c r="A96" s="20" t="n">
        <x:v>8</x:v>
      </x:c>
      <x:c r="B96" s="20" t="n">
        <x:v>8</x:v>
      </x:c>
      <x:c r="C96" s="563" t="n">
        <x:f>'_計算月次'!$J$12</x:f>
        <x:v>528.6548067323699</x:v>
      </x:c>
      <x:c r="D96" s="563" t="n">
        <x:f>'_計算月次'!$K$12</x:f>
        <x:v>450</x:v>
      </x:c>
      <x:c r="E96" s="585" t="n">
        <x:f>(1-MAX(MIN('詳細設定'!$D$16,0.999999),0))^(A96-1)</x:f>
        <x:v>1</x:v>
      </x:c>
      <x:c r="F96" s="563" t="n">
        <x:f>MAX(C96*E96,0)</x:f>
        <x:v>528.6548067323699</x:v>
      </x:c>
      <x:c r="G96" s="563" t="n">
        <x:f>MAX(MIN('詳細設定'!$D$15,1),0)</x:f>
        <x:v>0.4</x:v>
      </x:c>
      <x:c r="H96" s="563" t="n">
        <x:f>MAX(MIN(F96*G96,D96),0)</x:f>
        <x:v>211.46192269294798</x:v>
      </x:c>
      <x:c r="I96" s="563" t="n">
        <x:f>MAX(F96-H96,0)</x:f>
        <x:v>317.192884039422</x:v>
      </x:c>
      <x:c r="J96" s="185" t="n">
        <x:f>MAX('詳細設定'!$D$6,0)*(1+'詳細設定'!$D$21)^(A96-1)</x:f>
        <x:v>37.52473732374535</x:v>
      </x:c>
      <x:c r="K96" s="185" t="n">
        <x:f>IF(A96&lt;=MAX(MIN('詳細設定'!$D$8,20),0),MAX('詳細設定'!$D$7,0),IF(A96&lt;=MAX(MIN('詳細設定'!$D$10,20),0),MAX('詳細設定'!$D$9,0),MAX('詳細設定'!$D$11,0)))</x:f>
        <x:v>8.3</x:v>
      </x:c>
      <x:c r="L96" s="190" t="n">
        <x:f>H96*J96</x:f>
        <x:v>7935.053103027019</x:v>
      </x:c>
      <x:c r="M96" s="190" t="n">
        <x:f>I96*K96</x:f>
        <x:v>2632.7009375272028</x:v>
      </x:c>
      <x:c r="N96" s="190" t="n">
        <x:f>L96+M96</x:f>
        <x:v>10567.75404055422</x:v>
      </x:c>
      <x:c r="O96" s="196" t="n">
        <x:f>F96-H96-I96</x:f>
        <x:v>0</x:v>
      </x:c>
    </x:row>
    <x:row r="97">
      <x:c r="A97" s="20" t="n">
        <x:v>8</x:v>
      </x:c>
      <x:c r="B97" s="20" t="n">
        <x:v>9</x:v>
      </x:c>
      <x:c r="C97" s="563" t="n">
        <x:f>'_計算月次'!$J$13</x:f>
        <x:v>436.37734765103465</x:v>
      </x:c>
      <x:c r="D97" s="563" t="n">
        <x:f>'_計算月次'!$K$13</x:f>
        <x:v>360</x:v>
      </x:c>
      <x:c r="E97" s="585" t="n">
        <x:f>(1-MAX(MIN('詳細設定'!$D$16,0.999999),0))^(A97-1)</x:f>
        <x:v>1</x:v>
      </x:c>
      <x:c r="F97" s="563" t="n">
        <x:f>MAX(C97*E97,0)</x:f>
        <x:v>436.37734765103465</x:v>
      </x:c>
      <x:c r="G97" s="563" t="n">
        <x:f>MAX(MIN('詳細設定'!$D$15,1),0)</x:f>
        <x:v>0.4</x:v>
      </x:c>
      <x:c r="H97" s="563" t="n">
        <x:f>MAX(MIN(F97*G97,D97),0)</x:f>
        <x:v>174.55093906041387</x:v>
      </x:c>
      <x:c r="I97" s="563" t="n">
        <x:f>MAX(F97-H97,0)</x:f>
        <x:v>261.82640859062076</x:v>
      </x:c>
      <x:c r="J97" s="185" t="n">
        <x:f>MAX('詳細設定'!$D$6,0)*(1+'詳細設定'!$D$21)^(A97-1)</x:f>
        <x:v>37.52473732374535</x:v>
      </x:c>
      <x:c r="K97" s="185" t="n">
        <x:f>IF(A97&lt;=MAX(MIN('詳細設定'!$D$8,20),0),MAX('詳細設定'!$D$7,0),IF(A97&lt;=MAX(MIN('詳細設定'!$D$10,20),0),MAX('詳細設定'!$D$9,0),MAX('詳細設定'!$D$11,0)))</x:f>
        <x:v>8.3</x:v>
      </x:c>
      <x:c r="L97" s="190" t="n">
        <x:f>H97*J97</x:f>
        <x:v>6549.978137855112</x:v>
      </x:c>
      <x:c r="M97" s="190" t="n">
        <x:f>I97*K97</x:f>
        <x:v>2173.1591913021525</x:v>
      </x:c>
      <x:c r="N97" s="190" t="n">
        <x:f>L97+M97</x:f>
        <x:v>8723.137329157265</x:v>
      </x:c>
      <x:c r="O97" s="196" t="n">
        <x:f>F97-H97-I97</x:f>
        <x:v>0</x:v>
      </x:c>
    </x:row>
    <x:row r="98">
      <x:c r="A98" s="20" t="n">
        <x:v>8</x:v>
      </x:c>
      <x:c r="B98" s="20" t="n">
        <x:v>10</x:v>
      </x:c>
      <x:c r="C98" s="563" t="n">
        <x:f>'_計算月次'!$J$14</x:f>
        <x:v>408.8269849869007</x:v>
      </x:c>
      <x:c r="D98" s="563" t="n">
        <x:f>'_計算月次'!$K$14</x:f>
        <x:v>315.00000000000006</x:v>
      </x:c>
      <x:c r="E98" s="585" t="n">
        <x:f>(1-MAX(MIN('詳細設定'!$D$16,0.999999),0))^(A98-1)</x:f>
        <x:v>1</x:v>
      </x:c>
      <x:c r="F98" s="563" t="n">
        <x:f>MAX(C98*E98,0)</x:f>
        <x:v>408.8269849869007</x:v>
      </x:c>
      <x:c r="G98" s="563" t="n">
        <x:f>MAX(MIN('詳細設定'!$D$15,1),0)</x:f>
        <x:v>0.4</x:v>
      </x:c>
      <x:c r="H98" s="563" t="n">
        <x:f>MAX(MIN(F98*G98,D98),0)</x:f>
        <x:v>163.5307939947603</x:v>
      </x:c>
      <x:c r="I98" s="563" t="n">
        <x:f>MAX(F98-H98,0)</x:f>
        <x:v>245.2961909921404</x:v>
      </x:c>
      <x:c r="J98" s="185" t="n">
        <x:f>MAX('詳細設定'!$D$6,0)*(1+'詳細設定'!$D$21)^(A98-1)</x:f>
        <x:v>37.52473732374535</x:v>
      </x:c>
      <x:c r="K98" s="185" t="n">
        <x:f>IF(A98&lt;=MAX(MIN('詳細設定'!$D$8,20),0),MAX('詳細設定'!$D$7,0),IF(A98&lt;=MAX(MIN('詳細設定'!$D$10,20),0),MAX('詳細設定'!$D$9,0),MAX('詳細設定'!$D$11,0)))</x:f>
        <x:v>8.3</x:v>
      </x:c>
      <x:c r="L98" s="190" t="n">
        <x:f>H98*J98</x:f>
        <x:v>6136.450088996894</x:v>
      </x:c>
      <x:c r="M98" s="190" t="n">
        <x:f>I98*K98</x:f>
        <x:v>2035.9583852347655</x:v>
      </x:c>
      <x:c r="N98" s="190" t="n">
        <x:f>L98+M98</x:f>
        <x:v>8172.408474231659</x:v>
      </x:c>
      <x:c r="O98" s="196" t="n">
        <x:f>F98-H98-I98</x:f>
        <x:v>0</x:v>
      </x:c>
    </x:row>
    <x:row r="99">
      <x:c r="A99" s="20" t="n">
        <x:v>8</x:v>
      </x:c>
      <x:c r="B99" s="20" t="n">
        <x:v>11</x:v>
      </x:c>
      <x:c r="C99" s="563" t="n">
        <x:f>'_計算月次'!$J$15</x:f>
        <x:v>398.45169764745054</x:v>
      </x:c>
      <x:c r="D99" s="563" t="n">
        <x:f>'_計算月次'!$K$15</x:f>
        <x:v>360</x:v>
      </x:c>
      <x:c r="E99" s="585" t="n">
        <x:f>(1-MAX(MIN('詳細設定'!$D$16,0.999999),0))^(A99-1)</x:f>
        <x:v>1</x:v>
      </x:c>
      <x:c r="F99" s="563" t="n">
        <x:f>MAX(C99*E99,0)</x:f>
        <x:v>398.45169764745054</x:v>
      </x:c>
      <x:c r="G99" s="563" t="n">
        <x:f>MAX(MIN('詳細設定'!$D$15,1),0)</x:f>
        <x:v>0.4</x:v>
      </x:c>
      <x:c r="H99" s="563" t="n">
        <x:f>MAX(MIN(F99*G99,D99),0)</x:f>
        <x:v>159.38067905898023</x:v>
      </x:c>
      <x:c r="I99" s="563" t="n">
        <x:f>MAX(F99-H99,0)</x:f>
        <x:v>239.0710185884703</x:v>
      </x:c>
      <x:c r="J99" s="185" t="n">
        <x:f>MAX('詳細設定'!$D$6,0)*(1+'詳細設定'!$D$21)^(A99-1)</x:f>
        <x:v>37.52473732374535</x:v>
      </x:c>
      <x:c r="K99" s="185" t="n">
        <x:f>IF(A99&lt;=MAX(MIN('詳細設定'!$D$8,20),0),MAX('詳細設定'!$D$7,0),IF(A99&lt;=MAX(MIN('詳細設定'!$D$10,20),0),MAX('詳細設定'!$D$9,0),MAX('詳細設定'!$D$11,0)))</x:f>
        <x:v>8.3</x:v>
      </x:c>
      <x:c r="L99" s="190" t="n">
        <x:f>H99*J99</x:f>
        <x:v>5980.718116168395</x:v>
      </x:c>
      <x:c r="M99" s="190" t="n">
        <x:f>I99*K99</x:f>
        <x:v>1984.2894542843037</x:v>
      </x:c>
      <x:c r="N99" s="190" t="n">
        <x:f>L99+M99</x:f>
        <x:v>7965.007570452699</x:v>
      </x:c>
      <x:c r="O99" s="196" t="n">
        <x:f>F99-H99-I99</x:f>
        <x:v>0</x:v>
      </x:c>
    </x:row>
    <x:row r="100">
      <x:c r="A100" s="20" t="n">
        <x:v>8</x:v>
      </x:c>
      <x:c r="B100" s="20" t="n">
        <x:v>12</x:v>
      </x:c>
      <x:c r="C100" s="563" t="n">
        <x:f>'_計算月次'!$J$16</x:f>
        <x:v>443.97248688000184</x:v>
      </x:c>
      <x:c r="D100" s="563" t="n">
        <x:f>'_計算月次'!$K$16</x:f>
        <x:v>405</x:v>
      </x:c>
      <x:c r="E100" s="585" t="n">
        <x:f>(1-MAX(MIN('詳細設定'!$D$16,0.999999),0))^(A100-1)</x:f>
        <x:v>1</x:v>
      </x:c>
      <x:c r="F100" s="563" t="n">
        <x:f>MAX(C100*E100,0)</x:f>
        <x:v>443.97248688000184</x:v>
      </x:c>
      <x:c r="G100" s="563" t="n">
        <x:f>MAX(MIN('詳細設定'!$D$15,1),0)</x:f>
        <x:v>0.4</x:v>
      </x:c>
      <x:c r="H100" s="563" t="n">
        <x:f>MAX(MIN(F100*G100,D100),0)</x:f>
        <x:v>177.58899475200076</x:v>
      </x:c>
      <x:c r="I100" s="563" t="n">
        <x:f>MAX(F100-H100,0)</x:f>
        <x:v>266.3834921280011</x:v>
      </x:c>
      <x:c r="J100" s="185" t="n">
        <x:f>MAX('詳細設定'!$D$6,0)*(1+'詳細設定'!$D$21)^(A100-1)</x:f>
        <x:v>37.52473732374535</x:v>
      </x:c>
      <x:c r="K100" s="185" t="n">
        <x:f>IF(A100&lt;=MAX(MIN('詳細設定'!$D$8,20),0),MAX('詳細設定'!$D$7,0),IF(A100&lt;=MAX(MIN('詳細設定'!$D$10,20),0),MAX('詳細設定'!$D$9,0),MAX('詳細設定'!$D$11,0)))</x:f>
        <x:v>8.3</x:v>
      </x:c>
      <x:c r="L100" s="190" t="n">
        <x:f>H100*J100</x:f>
        <x:v>6663.980379656819</x:v>
      </x:c>
      <x:c r="M100" s="190" t="n">
        <x:f>I100*K100</x:f>
        <x:v>2210.9829846624093</x:v>
      </x:c>
      <x:c r="N100" s="190" t="n">
        <x:f>L100+M100</x:f>
        <x:v>8874.963364319228</x:v>
      </x:c>
      <x:c r="O100" s="196" t="n">
        <x:f>F100-H100-I100</x:f>
        <x:v>0</x:v>
      </x:c>
    </x:row>
    <x:row r="101">
      <x:c r="A101" s="20" t="n">
        <x:v>9</x:v>
      </x:c>
      <x:c r="B101" s="20" t="n">
        <x:v>1</x:v>
      </x:c>
      <x:c r="C101" s="563" t="n">
        <x:f>'_計算月次'!$J$5</x:f>
        <x:v>502.4147595742038</x:v>
      </x:c>
      <x:c r="D101" s="563" t="n">
        <x:f>'_計算月次'!$K$5</x:f>
        <x:v>450</x:v>
      </x:c>
      <x:c r="E101" s="585" t="n">
        <x:f>(1-MAX(MIN('詳細設定'!$D$16,0.999999),0))^(A101-1)</x:f>
        <x:v>1</x:v>
      </x:c>
      <x:c r="F101" s="563" t="n">
        <x:f>MAX(C101*E101,0)</x:f>
        <x:v>502.4147595742038</x:v>
      </x:c>
      <x:c r="G101" s="563" t="n">
        <x:f>MAX(MIN('詳細設定'!$D$15,1),0)</x:f>
        <x:v>0.4</x:v>
      </x:c>
      <x:c r="H101" s="563" t="n">
        <x:f>MAX(MIN(F101*G101,D101),0)</x:f>
        <x:v>200.96590382968154</x:v>
      </x:c>
      <x:c r="I101" s="563" t="n">
        <x:f>MAX(F101-H101,0)</x:f>
        <x:v>301.44885574452223</x:v>
      </x:c>
      <x:c r="J101" s="185" t="n">
        <x:f>MAX('詳細設定'!$D$6,0)*(1+'詳細設定'!$D$21)^(A101-1)</x:f>
        <x:v>37.899984696982806</x:v>
      </x:c>
      <x:c r="K101" s="185" t="n">
        <x:f>IF(A101&lt;=MAX(MIN('詳細設定'!$D$8,20),0),MAX('詳細設定'!$D$7,0),IF(A101&lt;=MAX(MIN('詳細設定'!$D$10,20),0),MAX('詳細設定'!$D$9,0),MAX('詳細設定'!$D$11,0)))</x:f>
        <x:v>8.3</x:v>
      </x:c>
      <x:c r="L101" s="190" t="n">
        <x:f>H101*J101</x:f>
        <x:v>7616.6046797602485</x:v>
      </x:c>
      <x:c r="M101" s="190" t="n">
        <x:f>I101*K101</x:f>
        <x:v>2502.025502679535</x:v>
      </x:c>
      <x:c r="N101" s="190" t="n">
        <x:f>L101+M101</x:f>
        <x:v>10118.630182439783</x:v>
      </x:c>
      <x:c r="O101" s="196" t="n">
        <x:f>F101-H101-I101</x:f>
        <x:v>0</x:v>
      </x:c>
    </x:row>
    <x:row r="102">
      <x:c r="A102" s="20" t="n">
        <x:v>9</x:v>
      </x:c>
      <x:c r="B102" s="20" t="n">
        <x:v>2</x:v>
      </x:c>
      <x:c r="C102" s="563" t="n">
        <x:f>'_計算月次'!$J$6</x:f>
        <x:v>472.4508339500229</x:v>
      </x:c>
      <x:c r="D102" s="563" t="n">
        <x:f>'_計算月次'!$K$6</x:f>
        <x:v>405</x:v>
      </x:c>
      <x:c r="E102" s="585" t="n">
        <x:f>(1-MAX(MIN('詳細設定'!$D$16,0.999999),0))^(A102-1)</x:f>
        <x:v>1</x:v>
      </x:c>
      <x:c r="F102" s="563" t="n">
        <x:f>MAX(C102*E102,0)</x:f>
        <x:v>472.4508339500229</x:v>
      </x:c>
      <x:c r="G102" s="563" t="n">
        <x:f>MAX(MIN('詳細設定'!$D$15,1),0)</x:f>
        <x:v>0.4</x:v>
      </x:c>
      <x:c r="H102" s="563" t="n">
        <x:f>MAX(MIN(F102*G102,D102),0)</x:f>
        <x:v>188.9803335800092</x:v>
      </x:c>
      <x:c r="I102" s="563" t="n">
        <x:f>MAX(F102-H102,0)</x:f>
        <x:v>283.4705003700137</x:v>
      </x:c>
      <x:c r="J102" s="185" t="n">
        <x:f>MAX('詳細設定'!$D$6,0)*(1+'詳細設定'!$D$21)^(A102-1)</x:f>
        <x:v>37.899984696982806</x:v>
      </x:c>
      <x:c r="K102" s="185" t="n">
        <x:f>IF(A102&lt;=MAX(MIN('詳細設定'!$D$8,20),0),MAX('詳細設定'!$D$7,0),IF(A102&lt;=MAX(MIN('詳細設定'!$D$10,20),0),MAX('詳細設定'!$D$9,0),MAX('詳細設定'!$D$11,0)))</x:f>
        <x:v>8.3</x:v>
      </x:c>
      <x:c r="L102" s="190" t="n">
        <x:f>H102*J102</x:f>
        <x:v>7162.351750713054</x:v>
      </x:c>
      <x:c r="M102" s="190" t="n">
        <x:f>I102*K102</x:f>
        <x:v>2352.805153071114</x:v>
      </x:c>
      <x:c r="N102" s="190" t="n">
        <x:f>L102+M102</x:f>
        <x:v>9515.156903784167</x:v>
      </x:c>
      <x:c r="O102" s="196" t="n">
        <x:f>F102-H102-I102</x:f>
        <x:v>0</x:v>
      </x:c>
    </x:row>
    <x:row r="103">
      <x:c r="A103" s="20" t="n">
        <x:v>9</x:v>
      </x:c>
      <x:c r="B103" s="20" t="n">
        <x:v>3</x:v>
      </x:c>
      <x:c r="C103" s="563" t="n">
        <x:f>'_計算月次'!$J$7</x:f>
        <x:v>548.3418864753118</x:v>
      </x:c>
      <x:c r="D103" s="563" t="n">
        <x:f>'_計算月次'!$K$7</x:f>
        <x:v>360</x:v>
      </x:c>
      <x:c r="E103" s="585" t="n">
        <x:f>(1-MAX(MIN('詳細設定'!$D$16,0.999999),0))^(A103-1)</x:f>
        <x:v>1</x:v>
      </x:c>
      <x:c r="F103" s="563" t="n">
        <x:f>MAX(C103*E103,0)</x:f>
        <x:v>548.3418864753118</x:v>
      </x:c>
      <x:c r="G103" s="563" t="n">
        <x:f>MAX(MIN('詳細設定'!$D$15,1),0)</x:f>
        <x:v>0.4</x:v>
      </x:c>
      <x:c r="H103" s="563" t="n">
        <x:f>MAX(MIN(F103*G103,D103),0)</x:f>
        <x:v>219.3367545901247</x:v>
      </x:c>
      <x:c r="I103" s="563" t="n">
        <x:f>MAX(F103-H103,0)</x:f>
        <x:v>329.00513188518704</x:v>
      </x:c>
      <x:c r="J103" s="185" t="n">
        <x:f>MAX('詳細設定'!$D$6,0)*(1+'詳細設定'!$D$21)^(A103-1)</x:f>
        <x:v>37.899984696982806</x:v>
      </x:c>
      <x:c r="K103" s="185" t="n">
        <x:f>IF(A103&lt;=MAX(MIN('詳細設定'!$D$8,20),0),MAX('詳細設定'!$D$7,0),IF(A103&lt;=MAX(MIN('詳細設定'!$D$10,20),0),MAX('詳細設定'!$D$9,0),MAX('詳細設定'!$D$11,0)))</x:f>
        <x:v>8.3</x:v>
      </x:c>
      <x:c r="L103" s="190" t="n">
        <x:f>H103*J103</x:f>
        <x:v>8312.8596424516</x:v>
      </x:c>
      <x:c r="M103" s="190" t="n">
        <x:f>I103*K103</x:f>
        <x:v>2730.7425946470526</x:v>
      </x:c>
      <x:c r="N103" s="190" t="n">
        <x:f>L103+M103</x:f>
        <x:v>11043.602237098652</x:v>
      </x:c>
      <x:c r="O103" s="196" t="n">
        <x:f>F103-H103-I103</x:f>
        <x:v>0</x:v>
      </x:c>
    </x:row>
    <x:row r="104">
      <x:c r="A104" s="20" t="n">
        <x:v>9</x:v>
      </x:c>
      <x:c r="B104" s="20" t="n">
        <x:v>4</x:v>
      </x:c>
      <x:c r="C104" s="563" t="n">
        <x:f>'_計算月次'!$J$8</x:f>
        <x:v>548.3944393749554</x:v>
      </x:c>
      <x:c r="D104" s="563" t="n">
        <x:f>'_計算月次'!$K$8</x:f>
        <x:v>315.00000000000006</x:v>
      </x:c>
      <x:c r="E104" s="585" t="n">
        <x:f>(1-MAX(MIN('詳細設定'!$D$16,0.999999),0))^(A104-1)</x:f>
        <x:v>1</x:v>
      </x:c>
      <x:c r="F104" s="563" t="n">
        <x:f>MAX(C104*E104,0)</x:f>
        <x:v>548.3944393749554</x:v>
      </x:c>
      <x:c r="G104" s="563" t="n">
        <x:f>MAX(MIN('詳細設定'!$D$15,1),0)</x:f>
        <x:v>0.4</x:v>
      </x:c>
      <x:c r="H104" s="563" t="n">
        <x:f>MAX(MIN(F104*G104,D104),0)</x:f>
        <x:v>219.35777574998215</x:v>
      </x:c>
      <x:c r="I104" s="563" t="n">
        <x:f>MAX(F104-H104,0)</x:f>
        <x:v>329.03666362497324</x:v>
      </x:c>
      <x:c r="J104" s="185" t="n">
        <x:f>MAX('詳細設定'!$D$6,0)*(1+'詳細設定'!$D$21)^(A104-1)</x:f>
        <x:v>37.899984696982806</x:v>
      </x:c>
      <x:c r="K104" s="185" t="n">
        <x:f>IF(A104&lt;=MAX(MIN('詳細設定'!$D$8,20),0),MAX('詳細設定'!$D$7,0),IF(A104&lt;=MAX(MIN('詳細設定'!$D$10,20),0),MAX('詳細設定'!$D$9,0),MAX('詳細設定'!$D$11,0)))</x:f>
        <x:v>8.3</x:v>
      </x:c>
      <x:c r="L104" s="190" t="n">
        <x:f>H104*J104</x:f>
        <x:v>8313.65634408851</x:v>
      </x:c>
      <x:c r="M104" s="190" t="n">
        <x:f>I104*K104</x:f>
        <x:v>2731.0043080872783</x:v>
      </x:c>
      <x:c r="N104" s="190" t="n">
        <x:f>L104+M104</x:f>
        <x:v>11044.660652175788</x:v>
      </x:c>
      <x:c r="O104" s="196" t="n">
        <x:f>F104-H104-I104</x:f>
        <x:v>0</x:v>
      </x:c>
    </x:row>
    <x:row r="105">
      <x:c r="A105" s="20" t="n">
        <x:v>9</x:v>
      </x:c>
      <x:c r="B105" s="20" t="n">
        <x:v>5</x:v>
      </x:c>
      <x:c r="C105" s="563" t="n">
        <x:f>'_計算月次'!$J$9</x:f>
        <x:v>552.2367574934775</x:v>
      </x:c>
      <x:c r="D105" s="563" t="n">
        <x:f>'_計算月次'!$K$9</x:f>
        <x:v>315.00000000000006</x:v>
      </x:c>
      <x:c r="E105" s="585" t="n">
        <x:f>(1-MAX(MIN('詳細設定'!$D$16,0.999999),0))^(A105-1)</x:f>
        <x:v>1</x:v>
      </x:c>
      <x:c r="F105" s="563" t="n">
        <x:f>MAX(C105*E105,0)</x:f>
        <x:v>552.2367574934775</x:v>
      </x:c>
      <x:c r="G105" s="563" t="n">
        <x:f>MAX(MIN('詳細設定'!$D$15,1),0)</x:f>
        <x:v>0.4</x:v>
      </x:c>
      <x:c r="H105" s="563" t="n">
        <x:f>MAX(MIN(F105*G105,D105),0)</x:f>
        <x:v>220.89470299739102</x:v>
      </x:c>
      <x:c r="I105" s="563" t="n">
        <x:f>MAX(F105-H105,0)</x:f>
        <x:v>331.34205449608646</x:v>
      </x:c>
      <x:c r="J105" s="185" t="n">
        <x:f>MAX('詳細設定'!$D$6,0)*(1+'詳細設定'!$D$21)^(A105-1)</x:f>
        <x:v>37.899984696982806</x:v>
      </x:c>
      <x:c r="K105" s="185" t="n">
        <x:f>IF(A105&lt;=MAX(MIN('詳細設定'!$D$8,20),0),MAX('詳細設定'!$D$7,0),IF(A105&lt;=MAX(MIN('詳細設定'!$D$10,20),0),MAX('詳細設定'!$D$9,0),MAX('詳細設定'!$D$11,0)))</x:f>
        <x:v>8.3</x:v>
      </x:c>
      <x:c r="L105" s="190" t="n">
        <x:f>H105*J105</x:f>
        <x:v>8371.905863245682</x:v>
      </x:c>
      <x:c r="M105" s="190" t="n">
        <x:f>I105*K105</x:f>
        <x:v>2750.139052317518</x:v>
      </x:c>
      <x:c r="N105" s="190" t="n">
        <x:f>L105+M105</x:f>
        <x:v>11122.0449155632</x:v>
      </x:c>
      <x:c r="O105" s="196" t="n">
        <x:f>F105-H105-I105</x:f>
        <x:v>0</x:v>
      </x:c>
    </x:row>
    <x:row r="106">
      <x:c r="A106" s="20" t="n">
        <x:v>9</x:v>
      </x:c>
      <x:c r="B106" s="20" t="n">
        <x:v>6</x:v>
      </x:c>
      <x:c r="C106" s="563" t="n">
        <x:f>'_計算月次'!$J$10</x:f>
        <x:v>448.7994857612148</x:v>
      </x:c>
      <x:c r="D106" s="563" t="n">
        <x:f>'_計算月次'!$K$10</x:f>
        <x:v>360</x:v>
      </x:c>
      <x:c r="E106" s="585" t="n">
        <x:f>(1-MAX(MIN('詳細設定'!$D$16,0.999999),0))^(A106-1)</x:f>
        <x:v>1</x:v>
      </x:c>
      <x:c r="F106" s="563" t="n">
        <x:f>MAX(C106*E106,0)</x:f>
        <x:v>448.7994857612148</x:v>
      </x:c>
      <x:c r="G106" s="563" t="n">
        <x:f>MAX(MIN('詳細設定'!$D$15,1),0)</x:f>
        <x:v>0.4</x:v>
      </x:c>
      <x:c r="H106" s="563" t="n">
        <x:f>MAX(MIN(F106*G106,D106),0)</x:f>
        <x:v>179.5197943044859</x:v>
      </x:c>
      <x:c r="I106" s="563" t="n">
        <x:f>MAX(F106-H106,0)</x:f>
        <x:v>269.27969145672887</x:v>
      </x:c>
      <x:c r="J106" s="185" t="n">
        <x:f>MAX('詳細設定'!$D$6,0)*(1+'詳細設定'!$D$21)^(A106-1)</x:f>
        <x:v>37.899984696982806</x:v>
      </x:c>
      <x:c r="K106" s="185" t="n">
        <x:f>IF(A106&lt;=MAX(MIN('詳細設定'!$D$8,20),0),MAX('詳細設定'!$D$7,0),IF(A106&lt;=MAX(MIN('詳細設定'!$D$10,20),0),MAX('詳細設定'!$D$9,0),MAX('詳細設定'!$D$11,0)))</x:f>
        <x:v>8.3</x:v>
      </x:c>
      <x:c r="L106" s="190" t="n">
        <x:f>H106*J106</x:f>
        <x:v>6803.797456945517</x:v>
      </x:c>
      <x:c r="M106" s="190" t="n">
        <x:f>I106*K106</x:f>
        <x:v>2235.02143909085</x:v>
      </x:c>
      <x:c r="N106" s="190" t="n">
        <x:f>L106+M106</x:f>
        <x:v>9038.818896036368</x:v>
      </x:c>
      <x:c r="O106" s="196" t="n">
        <x:f>F106-H106-I106</x:f>
        <x:v>0</x:v>
      </x:c>
    </x:row>
    <x:row r="107">
      <x:c r="A107" s="20" t="n">
        <x:v>9</x:v>
      </x:c>
      <x:c r="B107" s="20" t="n">
        <x:v>7</x:v>
      </x:c>
      <x:c r="C107" s="563" t="n">
        <x:f>'_計算月次'!$J$11</x:f>
        <x:v>476.0181638067866</x:v>
      </x:c>
      <x:c r="D107" s="563" t="n">
        <x:f>'_計算月次'!$K$11</x:f>
        <x:v>405</x:v>
      </x:c>
      <x:c r="E107" s="585" t="n">
        <x:f>(1-MAX(MIN('詳細設定'!$D$16,0.999999),0))^(A107-1)</x:f>
        <x:v>1</x:v>
      </x:c>
      <x:c r="F107" s="563" t="n">
        <x:f>MAX(C107*E107,0)</x:f>
        <x:v>476.0181638067866</x:v>
      </x:c>
      <x:c r="G107" s="563" t="n">
        <x:f>MAX(MIN('詳細設定'!$D$15,1),0)</x:f>
        <x:v>0.4</x:v>
      </x:c>
      <x:c r="H107" s="563" t="n">
        <x:f>MAX(MIN(F107*G107,D107),0)</x:f>
        <x:v>190.40726552271465</x:v>
      </x:c>
      <x:c r="I107" s="563" t="n">
        <x:f>MAX(F107-H107,0)</x:f>
        <x:v>285.61089828407194</x:v>
      </x:c>
      <x:c r="J107" s="185" t="n">
        <x:f>MAX('詳細設定'!$D$6,0)*(1+'詳細設定'!$D$21)^(A107-1)</x:f>
        <x:v>37.899984696982806</x:v>
      </x:c>
      <x:c r="K107" s="185" t="n">
        <x:f>IF(A107&lt;=MAX(MIN('詳細設定'!$D$8,20),0),MAX('詳細設定'!$D$7,0),IF(A107&lt;=MAX(MIN('詳細設定'!$D$10,20),0),MAX('詳細設定'!$D$9,0),MAX('詳細設定'!$D$11,0)))</x:f>
        <x:v>8.3</x:v>
      </x:c>
      <x:c r="L107" s="190" t="n">
        <x:f>H107*J107</x:f>
        <x:v>7216.432449505227</x:v>
      </x:c>
      <x:c r="M107" s="190" t="n">
        <x:f>I107*K107</x:f>
        <x:v>2370.5704557577974</x:v>
      </x:c>
      <x:c r="N107" s="190" t="n">
        <x:f>L107+M107</x:f>
        <x:v>9587.002905263023</x:v>
      </x:c>
      <x:c r="O107" s="196" t="n">
        <x:f>F107-H107-I107</x:f>
        <x:v>0</x:v>
      </x:c>
    </x:row>
    <x:row r="108">
      <x:c r="A108" s="20" t="n">
        <x:v>9</x:v>
      </x:c>
      <x:c r="B108" s="20" t="n">
        <x:v>8</x:v>
      </x:c>
      <x:c r="C108" s="563" t="n">
        <x:f>'_計算月次'!$J$12</x:f>
        <x:v>528.6548067323699</x:v>
      </x:c>
      <x:c r="D108" s="563" t="n">
        <x:f>'_計算月次'!$K$12</x:f>
        <x:v>450</x:v>
      </x:c>
      <x:c r="E108" s="585" t="n">
        <x:f>(1-MAX(MIN('詳細設定'!$D$16,0.999999),0))^(A108-1)</x:f>
        <x:v>1</x:v>
      </x:c>
      <x:c r="F108" s="563" t="n">
        <x:f>MAX(C108*E108,0)</x:f>
        <x:v>528.6548067323699</x:v>
      </x:c>
      <x:c r="G108" s="563" t="n">
        <x:f>MAX(MIN('詳細設定'!$D$15,1),0)</x:f>
        <x:v>0.4</x:v>
      </x:c>
      <x:c r="H108" s="563" t="n">
        <x:f>MAX(MIN(F108*G108,D108),0)</x:f>
        <x:v>211.46192269294798</x:v>
      </x:c>
      <x:c r="I108" s="563" t="n">
        <x:f>MAX(F108-H108,0)</x:f>
        <x:v>317.192884039422</x:v>
      </x:c>
      <x:c r="J108" s="185" t="n">
        <x:f>MAX('詳細設定'!$D$6,0)*(1+'詳細設定'!$D$21)^(A108-1)</x:f>
        <x:v>37.899984696982806</x:v>
      </x:c>
      <x:c r="K108" s="185" t="n">
        <x:f>IF(A108&lt;=MAX(MIN('詳細設定'!$D$8,20),0),MAX('詳細設定'!$D$7,0),IF(A108&lt;=MAX(MIN('詳細設定'!$D$10,20),0),MAX('詳細設定'!$D$9,0),MAX('詳細設定'!$D$11,0)))</x:f>
        <x:v>8.3</x:v>
      </x:c>
      <x:c r="L108" s="190" t="n">
        <x:f>H108*J108</x:f>
        <x:v>8014.403634057289</x:v>
      </x:c>
      <x:c r="M108" s="190" t="n">
        <x:f>I108*K108</x:f>
        <x:v>2632.7009375272028</x:v>
      </x:c>
      <x:c r="N108" s="190" t="n">
        <x:f>L108+M108</x:f>
        <x:v>10647.104571584492</x:v>
      </x:c>
      <x:c r="O108" s="196" t="n">
        <x:f>F108-H108-I108</x:f>
        <x:v>0</x:v>
      </x:c>
    </x:row>
    <x:row r="109">
      <x:c r="A109" s="20" t="n">
        <x:v>9</x:v>
      </x:c>
      <x:c r="B109" s="20" t="n">
        <x:v>9</x:v>
      </x:c>
      <x:c r="C109" s="563" t="n">
        <x:f>'_計算月次'!$J$13</x:f>
        <x:v>436.37734765103465</x:v>
      </x:c>
      <x:c r="D109" s="563" t="n">
        <x:f>'_計算月次'!$K$13</x:f>
        <x:v>360</x:v>
      </x:c>
      <x:c r="E109" s="585" t="n">
        <x:f>(1-MAX(MIN('詳細設定'!$D$16,0.999999),0))^(A109-1)</x:f>
        <x:v>1</x:v>
      </x:c>
      <x:c r="F109" s="563" t="n">
        <x:f>MAX(C109*E109,0)</x:f>
        <x:v>436.37734765103465</x:v>
      </x:c>
      <x:c r="G109" s="563" t="n">
        <x:f>MAX(MIN('詳細設定'!$D$15,1),0)</x:f>
        <x:v>0.4</x:v>
      </x:c>
      <x:c r="H109" s="563" t="n">
        <x:f>MAX(MIN(F109*G109,D109),0)</x:f>
        <x:v>174.55093906041387</x:v>
      </x:c>
      <x:c r="I109" s="563" t="n">
        <x:f>MAX(F109-H109,0)</x:f>
        <x:v>261.82640859062076</x:v>
      </x:c>
      <x:c r="J109" s="185" t="n">
        <x:f>MAX('詳細設定'!$D$6,0)*(1+'詳細設定'!$D$21)^(A109-1)</x:f>
        <x:v>37.899984696982806</x:v>
      </x:c>
      <x:c r="K109" s="185" t="n">
        <x:f>IF(A109&lt;=MAX(MIN('詳細設定'!$D$8,20),0),MAX('詳細設定'!$D$7,0),IF(A109&lt;=MAX(MIN('詳細設定'!$D$10,20),0),MAX('詳細設定'!$D$9,0),MAX('詳細設定'!$D$11,0)))</x:f>
        <x:v>8.3</x:v>
      </x:c>
      <x:c r="L109" s="190" t="n">
        <x:f>H109*J109</x:f>
        <x:v>6615.477919233664</x:v>
      </x:c>
      <x:c r="M109" s="190" t="n">
        <x:f>I109*K109</x:f>
        <x:v>2173.1591913021525</x:v>
      </x:c>
      <x:c r="N109" s="190" t="n">
        <x:f>L109+M109</x:f>
        <x:v>8788.637110535816</x:v>
      </x:c>
      <x:c r="O109" s="196" t="n">
        <x:f>F109-H109-I109</x:f>
        <x:v>0</x:v>
      </x:c>
    </x:row>
    <x:row r="110">
      <x:c r="A110" s="20" t="n">
        <x:v>9</x:v>
      </x:c>
      <x:c r="B110" s="20" t="n">
        <x:v>10</x:v>
      </x:c>
      <x:c r="C110" s="563" t="n">
        <x:f>'_計算月次'!$J$14</x:f>
        <x:v>408.8269849869007</x:v>
      </x:c>
      <x:c r="D110" s="563" t="n">
        <x:f>'_計算月次'!$K$14</x:f>
        <x:v>315.00000000000006</x:v>
      </x:c>
      <x:c r="E110" s="585" t="n">
        <x:f>(1-MAX(MIN('詳細設定'!$D$16,0.999999),0))^(A110-1)</x:f>
        <x:v>1</x:v>
      </x:c>
      <x:c r="F110" s="563" t="n">
        <x:f>MAX(C110*E110,0)</x:f>
        <x:v>408.8269849869007</x:v>
      </x:c>
      <x:c r="G110" s="563" t="n">
        <x:f>MAX(MIN('詳細設定'!$D$15,1),0)</x:f>
        <x:v>0.4</x:v>
      </x:c>
      <x:c r="H110" s="563" t="n">
        <x:f>MAX(MIN(F110*G110,D110),0)</x:f>
        <x:v>163.5307939947603</x:v>
      </x:c>
      <x:c r="I110" s="563" t="n">
        <x:f>MAX(F110-H110,0)</x:f>
        <x:v>245.2961909921404</x:v>
      </x:c>
      <x:c r="J110" s="185" t="n">
        <x:f>MAX('詳細設定'!$D$6,0)*(1+'詳細設定'!$D$21)^(A110-1)</x:f>
        <x:v>37.899984696982806</x:v>
      </x:c>
      <x:c r="K110" s="185" t="n">
        <x:f>IF(A110&lt;=MAX(MIN('詳細設定'!$D$8,20),0),MAX('詳細設定'!$D$7,0),IF(A110&lt;=MAX(MIN('詳細設定'!$D$10,20),0),MAX('詳細設定'!$D$9,0),MAX('詳細設定'!$D$11,0)))</x:f>
        <x:v>8.3</x:v>
      </x:c>
      <x:c r="L110" s="190" t="n">
        <x:f>H110*J110</x:f>
        <x:v>6197.814589886863</x:v>
      </x:c>
      <x:c r="M110" s="190" t="n">
        <x:f>I110*K110</x:f>
        <x:v>2035.9583852347655</x:v>
      </x:c>
      <x:c r="N110" s="190" t="n">
        <x:f>L110+M110</x:f>
        <x:v>8233.772975121628</x:v>
      </x:c>
      <x:c r="O110" s="196" t="n">
        <x:f>F110-H110-I110</x:f>
        <x:v>0</x:v>
      </x:c>
    </x:row>
    <x:row r="111">
      <x:c r="A111" s="20" t="n">
        <x:v>9</x:v>
      </x:c>
      <x:c r="B111" s="20" t="n">
        <x:v>11</x:v>
      </x:c>
      <x:c r="C111" s="563" t="n">
        <x:f>'_計算月次'!$J$15</x:f>
        <x:v>398.45169764745054</x:v>
      </x:c>
      <x:c r="D111" s="563" t="n">
        <x:f>'_計算月次'!$K$15</x:f>
        <x:v>360</x:v>
      </x:c>
      <x:c r="E111" s="585" t="n">
        <x:f>(1-MAX(MIN('詳細設定'!$D$16,0.999999),0))^(A111-1)</x:f>
        <x:v>1</x:v>
      </x:c>
      <x:c r="F111" s="563" t="n">
        <x:f>MAX(C111*E111,0)</x:f>
        <x:v>398.45169764745054</x:v>
      </x:c>
      <x:c r="G111" s="563" t="n">
        <x:f>MAX(MIN('詳細設定'!$D$15,1),0)</x:f>
        <x:v>0.4</x:v>
      </x:c>
      <x:c r="H111" s="563" t="n">
        <x:f>MAX(MIN(F111*G111,D111),0)</x:f>
        <x:v>159.38067905898023</x:v>
      </x:c>
      <x:c r="I111" s="563" t="n">
        <x:f>MAX(F111-H111,0)</x:f>
        <x:v>239.0710185884703</x:v>
      </x:c>
      <x:c r="J111" s="185" t="n">
        <x:f>MAX('詳細設定'!$D$6,0)*(1+'詳細設定'!$D$21)^(A111-1)</x:f>
        <x:v>37.899984696982806</x:v>
      </x:c>
      <x:c r="K111" s="185" t="n">
        <x:f>IF(A111&lt;=MAX(MIN('詳細設定'!$D$8,20),0),MAX('詳細設定'!$D$7,0),IF(A111&lt;=MAX(MIN('詳細設定'!$D$10,20),0),MAX('詳細設定'!$D$9,0),MAX('詳細設定'!$D$11,0)))</x:f>
        <x:v>8.3</x:v>
      </x:c>
      <x:c r="L111" s="190" t="n">
        <x:f>H111*J111</x:f>
        <x:v>6040.5252973300785</x:v>
      </x:c>
      <x:c r="M111" s="190" t="n">
        <x:f>I111*K111</x:f>
        <x:v>1984.2894542843037</x:v>
      </x:c>
      <x:c r="N111" s="190" t="n">
        <x:f>L111+M111</x:f>
        <x:v>8024.814751614382</x:v>
      </x:c>
      <x:c r="O111" s="196" t="n">
        <x:f>F111-H111-I111</x:f>
        <x:v>0</x:v>
      </x:c>
    </x:row>
    <x:row r="112">
      <x:c r="A112" s="20" t="n">
        <x:v>9</x:v>
      </x:c>
      <x:c r="B112" s="20" t="n">
        <x:v>12</x:v>
      </x:c>
      <x:c r="C112" s="563" t="n">
        <x:f>'_計算月次'!$J$16</x:f>
        <x:v>443.97248688000184</x:v>
      </x:c>
      <x:c r="D112" s="563" t="n">
        <x:f>'_計算月次'!$K$16</x:f>
        <x:v>405</x:v>
      </x:c>
      <x:c r="E112" s="585" t="n">
        <x:f>(1-MAX(MIN('詳細設定'!$D$16,0.999999),0))^(A112-1)</x:f>
        <x:v>1</x:v>
      </x:c>
      <x:c r="F112" s="563" t="n">
        <x:f>MAX(C112*E112,0)</x:f>
        <x:v>443.97248688000184</x:v>
      </x:c>
      <x:c r="G112" s="563" t="n">
        <x:f>MAX(MIN('詳細設定'!$D$15,1),0)</x:f>
        <x:v>0.4</x:v>
      </x:c>
      <x:c r="H112" s="563" t="n">
        <x:f>MAX(MIN(F112*G112,D112),0)</x:f>
        <x:v>177.58899475200076</x:v>
      </x:c>
      <x:c r="I112" s="563" t="n">
        <x:f>MAX(F112-H112,0)</x:f>
        <x:v>266.3834921280011</x:v>
      </x:c>
      <x:c r="J112" s="185" t="n">
        <x:f>MAX('詳細設定'!$D$6,0)*(1+'詳細設定'!$D$21)^(A112-1)</x:f>
        <x:v>37.899984696982806</x:v>
      </x:c>
      <x:c r="K112" s="185" t="n">
        <x:f>IF(A112&lt;=MAX(MIN('詳細設定'!$D$8,20),0),MAX('詳細設定'!$D$7,0),IF(A112&lt;=MAX(MIN('詳細設定'!$D$10,20),0),MAX('詳細設定'!$D$9,0),MAX('詳細設定'!$D$11,0)))</x:f>
        <x:v>8.3</x:v>
      </x:c>
      <x:c r="L112" s="190" t="n">
        <x:f>H112*J112</x:f>
        <x:v>6730.620183453389</x:v>
      </x:c>
      <x:c r="M112" s="190" t="n">
        <x:f>I112*K112</x:f>
        <x:v>2210.9829846624093</x:v>
      </x:c>
      <x:c r="N112" s="190" t="n">
        <x:f>L112+M112</x:f>
        <x:v>8941.603168115798</x:v>
      </x:c>
      <x:c r="O112" s="196" t="n">
        <x:f>F112-H112-I112</x:f>
        <x:v>0</x:v>
      </x:c>
    </x:row>
    <x:row r="113">
      <x:c r="A113" s="20" t="n">
        <x:v>10</x:v>
      </x:c>
      <x:c r="B113" s="20" t="n">
        <x:v>1</x:v>
      </x:c>
      <x:c r="C113" s="563" t="n">
        <x:f>'_計算月次'!$J$5</x:f>
        <x:v>502.4147595742038</x:v>
      </x:c>
      <x:c r="D113" s="563" t="n">
        <x:f>'_計算月次'!$K$5</x:f>
        <x:v>450</x:v>
      </x:c>
      <x:c r="E113" s="585" t="n">
        <x:f>(1-MAX(MIN('詳細設定'!$D$16,0.999999),0))^(A113-1)</x:f>
        <x:v>1</x:v>
      </x:c>
      <x:c r="F113" s="563" t="n">
        <x:f>MAX(C113*E113,0)</x:f>
        <x:v>502.4147595742038</x:v>
      </x:c>
      <x:c r="G113" s="563" t="n">
        <x:f>MAX(MIN('詳細設定'!$D$15,1),0)</x:f>
        <x:v>0.4</x:v>
      </x:c>
      <x:c r="H113" s="563" t="n">
        <x:f>MAX(MIN(F113*G113,D113),0)</x:f>
        <x:v>200.96590382968154</x:v>
      </x:c>
      <x:c r="I113" s="563" t="n">
        <x:f>MAX(F113-H113,0)</x:f>
        <x:v>301.44885574452223</x:v>
      </x:c>
      <x:c r="J113" s="185" t="n">
        <x:f>MAX('詳細設定'!$D$6,0)*(1+'詳細設定'!$D$21)^(A113-1)</x:f>
        <x:v>38.27898454395263</x:v>
      </x:c>
      <x:c r="K113" s="185" t="n">
        <x:f>IF(A113&lt;=MAX(MIN('詳細設定'!$D$8,20),0),MAX('詳細設定'!$D$7,0),IF(A113&lt;=MAX(MIN('詳細設定'!$D$10,20),0),MAX('詳細設定'!$D$9,0),MAX('詳細設定'!$D$11,0)))</x:f>
        <x:v>8.3</x:v>
      </x:c>
      <x:c r="L113" s="190" t="n">
        <x:f>H113*J113</x:f>
        <x:v>7692.77072655785</x:v>
      </x:c>
      <x:c r="M113" s="190" t="n">
        <x:f>I113*K113</x:f>
        <x:v>2502.025502679535</x:v>
      </x:c>
      <x:c r="N113" s="190" t="n">
        <x:f>L113+M113</x:f>
        <x:v>10194.796229237385</x:v>
      </x:c>
      <x:c r="O113" s="196" t="n">
        <x:f>F113-H113-I113</x:f>
        <x:v>0</x:v>
      </x:c>
    </x:row>
    <x:row r="114">
      <x:c r="A114" s="20" t="n">
        <x:v>10</x:v>
      </x:c>
      <x:c r="B114" s="20" t="n">
        <x:v>2</x:v>
      </x:c>
      <x:c r="C114" s="563" t="n">
        <x:f>'_計算月次'!$J$6</x:f>
        <x:v>472.4508339500229</x:v>
      </x:c>
      <x:c r="D114" s="563" t="n">
        <x:f>'_計算月次'!$K$6</x:f>
        <x:v>405</x:v>
      </x:c>
      <x:c r="E114" s="585" t="n">
        <x:f>(1-MAX(MIN('詳細設定'!$D$16,0.999999),0))^(A114-1)</x:f>
        <x:v>1</x:v>
      </x:c>
      <x:c r="F114" s="563" t="n">
        <x:f>MAX(C114*E114,0)</x:f>
        <x:v>472.4508339500229</x:v>
      </x:c>
      <x:c r="G114" s="563" t="n">
        <x:f>MAX(MIN('詳細設定'!$D$15,1),0)</x:f>
        <x:v>0.4</x:v>
      </x:c>
      <x:c r="H114" s="563" t="n">
        <x:f>MAX(MIN(F114*G114,D114),0)</x:f>
        <x:v>188.9803335800092</x:v>
      </x:c>
      <x:c r="I114" s="563" t="n">
        <x:f>MAX(F114-H114,0)</x:f>
        <x:v>283.4705003700137</x:v>
      </x:c>
      <x:c r="J114" s="185" t="n">
        <x:f>MAX('詳細設定'!$D$6,0)*(1+'詳細設定'!$D$21)^(A114-1)</x:f>
        <x:v>38.27898454395263</x:v>
      </x:c>
      <x:c r="K114" s="185" t="n">
        <x:f>IF(A114&lt;=MAX(MIN('詳細設定'!$D$8,20),0),MAX('詳細設定'!$D$7,0),IF(A114&lt;=MAX(MIN('詳細設定'!$D$10,20),0),MAX('詳細設定'!$D$9,0),MAX('詳細設定'!$D$11,0)))</x:f>
        <x:v>8.3</x:v>
      </x:c>
      <x:c r="L114" s="190" t="n">
        <x:f>H114*J114</x:f>
        <x:v>7233.975268220184</x:v>
      </x:c>
      <x:c r="M114" s="190" t="n">
        <x:f>I114*K114</x:f>
        <x:v>2352.805153071114</x:v>
      </x:c>
      <x:c r="N114" s="190" t="n">
        <x:f>L114+M114</x:f>
        <x:v>9586.780421291298</x:v>
      </x:c>
      <x:c r="O114" s="196" t="n">
        <x:f>F114-H114-I114</x:f>
        <x:v>0</x:v>
      </x:c>
    </x:row>
    <x:row r="115">
      <x:c r="A115" s="20" t="n">
        <x:v>10</x:v>
      </x:c>
      <x:c r="B115" s="20" t="n">
        <x:v>3</x:v>
      </x:c>
      <x:c r="C115" s="563" t="n">
        <x:f>'_計算月次'!$J$7</x:f>
        <x:v>548.3418864753118</x:v>
      </x:c>
      <x:c r="D115" s="563" t="n">
        <x:f>'_計算月次'!$K$7</x:f>
        <x:v>360</x:v>
      </x:c>
      <x:c r="E115" s="585" t="n">
        <x:f>(1-MAX(MIN('詳細設定'!$D$16,0.999999),0))^(A115-1)</x:f>
        <x:v>1</x:v>
      </x:c>
      <x:c r="F115" s="563" t="n">
        <x:f>MAX(C115*E115,0)</x:f>
        <x:v>548.3418864753118</x:v>
      </x:c>
      <x:c r="G115" s="563" t="n">
        <x:f>MAX(MIN('詳細設定'!$D$15,1),0)</x:f>
        <x:v>0.4</x:v>
      </x:c>
      <x:c r="H115" s="563" t="n">
        <x:f>MAX(MIN(F115*G115,D115),0)</x:f>
        <x:v>219.3367545901247</x:v>
      </x:c>
      <x:c r="I115" s="563" t="n">
        <x:f>MAX(F115-H115,0)</x:f>
        <x:v>329.00513188518704</x:v>
      </x:c>
      <x:c r="J115" s="185" t="n">
        <x:f>MAX('詳細設定'!$D$6,0)*(1+'詳細設定'!$D$21)^(A115-1)</x:f>
        <x:v>38.27898454395263</x:v>
      </x:c>
      <x:c r="K115" s="185" t="n">
        <x:f>IF(A115&lt;=MAX(MIN('詳細設定'!$D$8,20),0),MAX('詳細設定'!$D$7,0),IF(A115&lt;=MAX(MIN('詳細設定'!$D$10,20),0),MAX('詳細設定'!$D$9,0),MAX('詳細設定'!$D$11,0)))</x:f>
        <x:v>8.3</x:v>
      </x:c>
      <x:c r="L115" s="190" t="n">
        <x:f>H115*J115</x:f>
        <x:v>8395.988238876116</x:v>
      </x:c>
      <x:c r="M115" s="190" t="n">
        <x:f>I115*K115</x:f>
        <x:v>2730.7425946470526</x:v>
      </x:c>
      <x:c r="N115" s="190" t="n">
        <x:f>L115+M115</x:f>
        <x:v>11126.730833523168</x:v>
      </x:c>
      <x:c r="O115" s="196" t="n">
        <x:f>F115-H115-I115</x:f>
        <x:v>0</x:v>
      </x:c>
    </x:row>
    <x:row r="116">
      <x:c r="A116" s="20" t="n">
        <x:v>10</x:v>
      </x:c>
      <x:c r="B116" s="20" t="n">
        <x:v>4</x:v>
      </x:c>
      <x:c r="C116" s="563" t="n">
        <x:f>'_計算月次'!$J$8</x:f>
        <x:v>548.3944393749554</x:v>
      </x:c>
      <x:c r="D116" s="563" t="n">
        <x:f>'_計算月次'!$K$8</x:f>
        <x:v>315.00000000000006</x:v>
      </x:c>
      <x:c r="E116" s="585" t="n">
        <x:f>(1-MAX(MIN('詳細設定'!$D$16,0.999999),0))^(A116-1)</x:f>
        <x:v>1</x:v>
      </x:c>
      <x:c r="F116" s="563" t="n">
        <x:f>MAX(C116*E116,0)</x:f>
        <x:v>548.3944393749554</x:v>
      </x:c>
      <x:c r="G116" s="563" t="n">
        <x:f>MAX(MIN('詳細設定'!$D$15,1),0)</x:f>
        <x:v>0.4</x:v>
      </x:c>
      <x:c r="H116" s="563" t="n">
        <x:f>MAX(MIN(F116*G116,D116),0)</x:f>
        <x:v>219.35777574998215</x:v>
      </x:c>
      <x:c r="I116" s="563" t="n">
        <x:f>MAX(F116-H116,0)</x:f>
        <x:v>329.03666362497324</x:v>
      </x:c>
      <x:c r="J116" s="185" t="n">
        <x:f>MAX('詳細設定'!$D$6,0)*(1+'詳細設定'!$D$21)^(A116-1)</x:f>
        <x:v>38.27898454395263</x:v>
      </x:c>
      <x:c r="K116" s="185" t="n">
        <x:f>IF(A116&lt;=MAX(MIN('詳細設定'!$D$8,20),0),MAX('詳細設定'!$D$7,0),IF(A116&lt;=MAX(MIN('詳細設定'!$D$10,20),0),MAX('詳細設定'!$D$9,0),MAX('詳細設定'!$D$11,0)))</x:f>
        <x:v>8.3</x:v>
      </x:c>
      <x:c r="L116" s="190" t="n">
        <x:f>H116*J116</x:f>
        <x:v>8396.792907529394</x:v>
      </x:c>
      <x:c r="M116" s="190" t="n">
        <x:f>I116*K116</x:f>
        <x:v>2731.0043080872783</x:v>
      </x:c>
      <x:c r="N116" s="190" t="n">
        <x:f>L116+M116</x:f>
        <x:v>11127.797215616672</x:v>
      </x:c>
      <x:c r="O116" s="196" t="n">
        <x:f>F116-H116-I116</x:f>
        <x:v>0</x:v>
      </x:c>
    </x:row>
    <x:row r="117">
      <x:c r="A117" s="20" t="n">
        <x:v>10</x:v>
      </x:c>
      <x:c r="B117" s="20" t="n">
        <x:v>5</x:v>
      </x:c>
      <x:c r="C117" s="563" t="n">
        <x:f>'_計算月次'!$J$9</x:f>
        <x:v>552.2367574934775</x:v>
      </x:c>
      <x:c r="D117" s="563" t="n">
        <x:f>'_計算月次'!$K$9</x:f>
        <x:v>315.00000000000006</x:v>
      </x:c>
      <x:c r="E117" s="585" t="n">
        <x:f>(1-MAX(MIN('詳細設定'!$D$16,0.999999),0))^(A117-1)</x:f>
        <x:v>1</x:v>
      </x:c>
      <x:c r="F117" s="563" t="n">
        <x:f>MAX(C117*E117,0)</x:f>
        <x:v>552.2367574934775</x:v>
      </x:c>
      <x:c r="G117" s="563" t="n">
        <x:f>MAX(MIN('詳細設定'!$D$15,1),0)</x:f>
        <x:v>0.4</x:v>
      </x:c>
      <x:c r="H117" s="563" t="n">
        <x:f>MAX(MIN(F117*G117,D117),0)</x:f>
        <x:v>220.89470299739102</x:v>
      </x:c>
      <x:c r="I117" s="563" t="n">
        <x:f>MAX(F117-H117,0)</x:f>
        <x:v>331.34205449608646</x:v>
      </x:c>
      <x:c r="J117" s="185" t="n">
        <x:f>MAX('詳細設定'!$D$6,0)*(1+'詳細設定'!$D$21)^(A117-1)</x:f>
        <x:v>38.27898454395263</x:v>
      </x:c>
      <x:c r="K117" s="185" t="n">
        <x:f>IF(A117&lt;=MAX(MIN('詳細設定'!$D$8,20),0),MAX('詳細設定'!$D$7,0),IF(A117&lt;=MAX(MIN('詳細設定'!$D$10,20),0),MAX('詳細設定'!$D$9,0),MAX('詳細設定'!$D$11,0)))</x:f>
        <x:v>8.3</x:v>
      </x:c>
      <x:c r="L117" s="190" t="n">
        <x:f>H117*J117</x:f>
        <x:v>8455.624921878138</x:v>
      </x:c>
      <x:c r="M117" s="190" t="n">
        <x:f>I117*K117</x:f>
        <x:v>2750.139052317518</x:v>
      </x:c>
      <x:c r="N117" s="190" t="n">
        <x:f>L117+M117</x:f>
        <x:v>11205.763974195655</x:v>
      </x:c>
      <x:c r="O117" s="196" t="n">
        <x:f>F117-H117-I117</x:f>
        <x:v>0</x:v>
      </x:c>
    </x:row>
    <x:row r="118">
      <x:c r="A118" s="20" t="n">
        <x:v>10</x:v>
      </x:c>
      <x:c r="B118" s="20" t="n">
        <x:v>6</x:v>
      </x:c>
      <x:c r="C118" s="563" t="n">
        <x:f>'_計算月次'!$J$10</x:f>
        <x:v>448.7994857612148</x:v>
      </x:c>
      <x:c r="D118" s="563" t="n">
        <x:f>'_計算月次'!$K$10</x:f>
        <x:v>360</x:v>
      </x:c>
      <x:c r="E118" s="585" t="n">
        <x:f>(1-MAX(MIN('詳細設定'!$D$16,0.999999),0))^(A118-1)</x:f>
        <x:v>1</x:v>
      </x:c>
      <x:c r="F118" s="563" t="n">
        <x:f>MAX(C118*E118,0)</x:f>
        <x:v>448.7994857612148</x:v>
      </x:c>
      <x:c r="G118" s="563" t="n">
        <x:f>MAX(MIN('詳細設定'!$D$15,1),0)</x:f>
        <x:v>0.4</x:v>
      </x:c>
      <x:c r="H118" s="563" t="n">
        <x:f>MAX(MIN(F118*G118,D118),0)</x:f>
        <x:v>179.5197943044859</x:v>
      </x:c>
      <x:c r="I118" s="563" t="n">
        <x:f>MAX(F118-H118,0)</x:f>
        <x:v>269.27969145672887</x:v>
      </x:c>
      <x:c r="J118" s="185" t="n">
        <x:f>MAX('詳細設定'!$D$6,0)*(1+'詳細設定'!$D$21)^(A118-1)</x:f>
        <x:v>38.27898454395263</x:v>
      </x:c>
      <x:c r="K118" s="185" t="n">
        <x:f>IF(A118&lt;=MAX(MIN('詳細設定'!$D$8,20),0),MAX('詳細設定'!$D$7,0),IF(A118&lt;=MAX(MIN('詳細設定'!$D$10,20),0),MAX('詳細設定'!$D$9,0),MAX('詳細設定'!$D$11,0)))</x:f>
        <x:v>8.3</x:v>
      </x:c>
      <x:c r="L118" s="190" t="n">
        <x:f>H118*J118</x:f>
        <x:v>6871.835431514972</x:v>
      </x:c>
      <x:c r="M118" s="190" t="n">
        <x:f>I118*K118</x:f>
        <x:v>2235.02143909085</x:v>
      </x:c>
      <x:c r="N118" s="190" t="n">
        <x:f>L118+M118</x:f>
        <x:v>9106.856870605821</x:v>
      </x:c>
      <x:c r="O118" s="196" t="n">
        <x:f>F118-H118-I118</x:f>
        <x:v>0</x:v>
      </x:c>
    </x:row>
    <x:row r="119">
      <x:c r="A119" s="20" t="n">
        <x:v>10</x:v>
      </x:c>
      <x:c r="B119" s="20" t="n">
        <x:v>7</x:v>
      </x:c>
      <x:c r="C119" s="563" t="n">
        <x:f>'_計算月次'!$J$11</x:f>
        <x:v>476.0181638067866</x:v>
      </x:c>
      <x:c r="D119" s="563" t="n">
        <x:f>'_計算月次'!$K$11</x:f>
        <x:v>405</x:v>
      </x:c>
      <x:c r="E119" s="585" t="n">
        <x:f>(1-MAX(MIN('詳細設定'!$D$16,0.999999),0))^(A119-1)</x:f>
        <x:v>1</x:v>
      </x:c>
      <x:c r="F119" s="563" t="n">
        <x:f>MAX(C119*E119,0)</x:f>
        <x:v>476.0181638067866</x:v>
      </x:c>
      <x:c r="G119" s="563" t="n">
        <x:f>MAX(MIN('詳細設定'!$D$15,1),0)</x:f>
        <x:v>0.4</x:v>
      </x:c>
      <x:c r="H119" s="563" t="n">
        <x:f>MAX(MIN(F119*G119,D119),0)</x:f>
        <x:v>190.40726552271465</x:v>
      </x:c>
      <x:c r="I119" s="563" t="n">
        <x:f>MAX(F119-H119,0)</x:f>
        <x:v>285.61089828407194</x:v>
      </x:c>
      <x:c r="J119" s="185" t="n">
        <x:f>MAX('詳細設定'!$D$6,0)*(1+'詳細設定'!$D$21)^(A119-1)</x:f>
        <x:v>38.27898454395263</x:v>
      </x:c>
      <x:c r="K119" s="185" t="n">
        <x:f>IF(A119&lt;=MAX(MIN('詳細設定'!$D$8,20),0),MAX('詳細設定'!$D$7,0),IF(A119&lt;=MAX(MIN('詳細設定'!$D$10,20),0),MAX('詳細設定'!$D$9,0),MAX('詳細設定'!$D$11,0)))</x:f>
        <x:v>8.3</x:v>
      </x:c>
      <x:c r="L119" s="190" t="n">
        <x:f>H119*J119</x:f>
        <x:v>7288.596774000279</x:v>
      </x:c>
      <x:c r="M119" s="190" t="n">
        <x:f>I119*K119</x:f>
        <x:v>2370.5704557577974</x:v>
      </x:c>
      <x:c r="N119" s="190" t="n">
        <x:f>L119+M119</x:f>
        <x:v>9659.167229758077</x:v>
      </x:c>
      <x:c r="O119" s="196" t="n">
        <x:f>F119-H119-I119</x:f>
        <x:v>0</x:v>
      </x:c>
    </x:row>
    <x:row r="120">
      <x:c r="A120" s="20" t="n">
        <x:v>10</x:v>
      </x:c>
      <x:c r="B120" s="20" t="n">
        <x:v>8</x:v>
      </x:c>
      <x:c r="C120" s="563" t="n">
        <x:f>'_計算月次'!$J$12</x:f>
        <x:v>528.6548067323699</x:v>
      </x:c>
      <x:c r="D120" s="563" t="n">
        <x:f>'_計算月次'!$K$12</x:f>
        <x:v>450</x:v>
      </x:c>
      <x:c r="E120" s="585" t="n">
        <x:f>(1-MAX(MIN('詳細設定'!$D$16,0.999999),0))^(A120-1)</x:f>
        <x:v>1</x:v>
      </x:c>
      <x:c r="F120" s="563" t="n">
        <x:f>MAX(C120*E120,0)</x:f>
        <x:v>528.6548067323699</x:v>
      </x:c>
      <x:c r="G120" s="563" t="n">
        <x:f>MAX(MIN('詳細設定'!$D$15,1),0)</x:f>
        <x:v>0.4</x:v>
      </x:c>
      <x:c r="H120" s="563" t="n">
        <x:f>MAX(MIN(F120*G120,D120),0)</x:f>
        <x:v>211.46192269294798</x:v>
      </x:c>
      <x:c r="I120" s="563" t="n">
        <x:f>MAX(F120-H120,0)</x:f>
        <x:v>317.192884039422</x:v>
      </x:c>
      <x:c r="J120" s="185" t="n">
        <x:f>MAX('詳細設定'!$D$6,0)*(1+'詳細設定'!$D$21)^(A120-1)</x:f>
        <x:v>38.27898454395263</x:v>
      </x:c>
      <x:c r="K120" s="185" t="n">
        <x:f>IF(A120&lt;=MAX(MIN('詳細設定'!$D$8,20),0),MAX('詳細設定'!$D$7,0),IF(A120&lt;=MAX(MIN('詳細設定'!$D$10,20),0),MAX('詳細設定'!$D$9,0),MAX('詳細設定'!$D$11,0)))</x:f>
        <x:v>8.3</x:v>
      </x:c>
      <x:c r="L120" s="190" t="n">
        <x:f>H120*J120</x:f>
        <x:v>8094.547670397862</x:v>
      </x:c>
      <x:c r="M120" s="190" t="n">
        <x:f>I120*K120</x:f>
        <x:v>2632.7009375272028</x:v>
      </x:c>
      <x:c r="N120" s="190" t="n">
        <x:f>L120+M120</x:f>
        <x:v>10727.248607925065</x:v>
      </x:c>
      <x:c r="O120" s="196" t="n">
        <x:f>F120-H120-I120</x:f>
        <x:v>0</x:v>
      </x:c>
    </x:row>
    <x:row r="121">
      <x:c r="A121" s="20" t="n">
        <x:v>10</x:v>
      </x:c>
      <x:c r="B121" s="20" t="n">
        <x:v>9</x:v>
      </x:c>
      <x:c r="C121" s="563" t="n">
        <x:f>'_計算月次'!$J$13</x:f>
        <x:v>436.37734765103465</x:v>
      </x:c>
      <x:c r="D121" s="563" t="n">
        <x:f>'_計算月次'!$K$13</x:f>
        <x:v>360</x:v>
      </x:c>
      <x:c r="E121" s="585" t="n">
        <x:f>(1-MAX(MIN('詳細設定'!$D$16,0.999999),0))^(A121-1)</x:f>
        <x:v>1</x:v>
      </x:c>
      <x:c r="F121" s="563" t="n">
        <x:f>MAX(C121*E121,0)</x:f>
        <x:v>436.37734765103465</x:v>
      </x:c>
      <x:c r="G121" s="563" t="n">
        <x:f>MAX(MIN('詳細設定'!$D$15,1),0)</x:f>
        <x:v>0.4</x:v>
      </x:c>
      <x:c r="H121" s="563" t="n">
        <x:f>MAX(MIN(F121*G121,D121),0)</x:f>
        <x:v>174.55093906041387</x:v>
      </x:c>
      <x:c r="I121" s="563" t="n">
        <x:f>MAX(F121-H121,0)</x:f>
        <x:v>261.82640859062076</x:v>
      </x:c>
      <x:c r="J121" s="185" t="n">
        <x:f>MAX('詳細設定'!$D$6,0)*(1+'詳細設定'!$D$21)^(A121-1)</x:f>
        <x:v>38.27898454395263</x:v>
      </x:c>
      <x:c r="K121" s="185" t="n">
        <x:f>IF(A121&lt;=MAX(MIN('詳細設定'!$D$8,20),0),MAX('詳細設定'!$D$7,0),IF(A121&lt;=MAX(MIN('詳細設定'!$D$10,20),0),MAX('詳細設定'!$D$9,0),MAX('詳細設定'!$D$11,0)))</x:f>
        <x:v>8.3</x:v>
      </x:c>
      <x:c r="L121" s="190" t="n">
        <x:f>H121*J121</x:f>
        <x:v>6681.632698426</x:v>
      </x:c>
      <x:c r="M121" s="190" t="n">
        <x:f>I121*K121</x:f>
        <x:v>2173.1591913021525</x:v>
      </x:c>
      <x:c r="N121" s="190" t="n">
        <x:f>L121+M121</x:f>
        <x:v>8854.791889728152</x:v>
      </x:c>
      <x:c r="O121" s="196" t="n">
        <x:f>F121-H121-I121</x:f>
        <x:v>0</x:v>
      </x:c>
    </x:row>
    <x:row r="122">
      <x:c r="A122" s="20" t="n">
        <x:v>10</x:v>
      </x:c>
      <x:c r="B122" s="20" t="n">
        <x:v>10</x:v>
      </x:c>
      <x:c r="C122" s="563" t="n">
        <x:f>'_計算月次'!$J$14</x:f>
        <x:v>408.8269849869007</x:v>
      </x:c>
      <x:c r="D122" s="563" t="n">
        <x:f>'_計算月次'!$K$14</x:f>
        <x:v>315.00000000000006</x:v>
      </x:c>
      <x:c r="E122" s="585" t="n">
        <x:f>(1-MAX(MIN('詳細設定'!$D$16,0.999999),0))^(A122-1)</x:f>
        <x:v>1</x:v>
      </x:c>
      <x:c r="F122" s="563" t="n">
        <x:f>MAX(C122*E122,0)</x:f>
        <x:v>408.8269849869007</x:v>
      </x:c>
      <x:c r="G122" s="563" t="n">
        <x:f>MAX(MIN('詳細設定'!$D$15,1),0)</x:f>
        <x:v>0.4</x:v>
      </x:c>
      <x:c r="H122" s="563" t="n">
        <x:f>MAX(MIN(F122*G122,D122),0)</x:f>
        <x:v>163.5307939947603</x:v>
      </x:c>
      <x:c r="I122" s="563" t="n">
        <x:f>MAX(F122-H122,0)</x:f>
        <x:v>245.2961909921404</x:v>
      </x:c>
      <x:c r="J122" s="185" t="n">
        <x:f>MAX('詳細設定'!$D$6,0)*(1+'詳細設定'!$D$21)^(A122-1)</x:f>
        <x:v>38.27898454395263</x:v>
      </x:c>
      <x:c r="K122" s="185" t="n">
        <x:f>IF(A122&lt;=MAX(MIN('詳細設定'!$D$8,20),0),MAX('詳細設定'!$D$7,0),IF(A122&lt;=MAX(MIN('詳細設定'!$D$10,20),0),MAX('詳細設定'!$D$9,0),MAX('詳細設定'!$D$11,0)))</x:f>
        <x:v>8.3</x:v>
      </x:c>
      <x:c r="L122" s="190" t="n">
        <x:f>H122*J122</x:f>
        <x:v>6259.792735785732</x:v>
      </x:c>
      <x:c r="M122" s="190" t="n">
        <x:f>I122*K122</x:f>
        <x:v>2035.9583852347655</x:v>
      </x:c>
      <x:c r="N122" s="190" t="n">
        <x:f>L122+M122</x:f>
        <x:v>8295.751121020498</x:v>
      </x:c>
      <x:c r="O122" s="196" t="n">
        <x:f>F122-H122-I122</x:f>
        <x:v>0</x:v>
      </x:c>
    </x:row>
    <x:row r="123">
      <x:c r="A123" s="20" t="n">
        <x:v>10</x:v>
      </x:c>
      <x:c r="B123" s="20" t="n">
        <x:v>11</x:v>
      </x:c>
      <x:c r="C123" s="563" t="n">
        <x:f>'_計算月次'!$J$15</x:f>
        <x:v>398.45169764745054</x:v>
      </x:c>
      <x:c r="D123" s="563" t="n">
        <x:f>'_計算月次'!$K$15</x:f>
        <x:v>360</x:v>
      </x:c>
      <x:c r="E123" s="585" t="n">
        <x:f>(1-MAX(MIN('詳細設定'!$D$16,0.999999),0))^(A123-1)</x:f>
        <x:v>1</x:v>
      </x:c>
      <x:c r="F123" s="563" t="n">
        <x:f>MAX(C123*E123,0)</x:f>
        <x:v>398.45169764745054</x:v>
      </x:c>
      <x:c r="G123" s="563" t="n">
        <x:f>MAX(MIN('詳細設定'!$D$15,1),0)</x:f>
        <x:v>0.4</x:v>
      </x:c>
      <x:c r="H123" s="563" t="n">
        <x:f>MAX(MIN(F123*G123,D123),0)</x:f>
        <x:v>159.38067905898023</x:v>
      </x:c>
      <x:c r="I123" s="563" t="n">
        <x:f>MAX(F123-H123,0)</x:f>
        <x:v>239.0710185884703</x:v>
      </x:c>
      <x:c r="J123" s="185" t="n">
        <x:f>MAX('詳細設定'!$D$6,0)*(1+'詳細設定'!$D$21)^(A123-1)</x:f>
        <x:v>38.27898454395263</x:v>
      </x:c>
      <x:c r="K123" s="185" t="n">
        <x:f>IF(A123&lt;=MAX(MIN('詳細設定'!$D$8,20),0),MAX('詳細設定'!$D$7,0),IF(A123&lt;=MAX(MIN('詳細設定'!$D$10,20),0),MAX('詳細設定'!$D$9,0),MAX('詳細設定'!$D$11,0)))</x:f>
        <x:v>8.3</x:v>
      </x:c>
      <x:c r="L123" s="190" t="n">
        <x:f>H123*J123</x:f>
        <x:v>6100.930550303379</x:v>
      </x:c>
      <x:c r="M123" s="190" t="n">
        <x:f>I123*K123</x:f>
        <x:v>1984.2894542843037</x:v>
      </x:c>
      <x:c r="N123" s="190" t="n">
        <x:f>L123+M123</x:f>
        <x:v>8085.220004587683</x:v>
      </x:c>
      <x:c r="O123" s="196" t="n">
        <x:f>F123-H123-I123</x:f>
        <x:v>0</x:v>
      </x:c>
    </x:row>
    <x:row r="124">
      <x:c r="A124" s="20" t="n">
        <x:v>10</x:v>
      </x:c>
      <x:c r="B124" s="20" t="n">
        <x:v>12</x:v>
      </x:c>
      <x:c r="C124" s="563" t="n">
        <x:f>'_計算月次'!$J$16</x:f>
        <x:v>443.97248688000184</x:v>
      </x:c>
      <x:c r="D124" s="563" t="n">
        <x:f>'_計算月次'!$K$16</x:f>
        <x:v>405</x:v>
      </x:c>
      <x:c r="E124" s="585" t="n">
        <x:f>(1-MAX(MIN('詳細設定'!$D$16,0.999999),0))^(A124-1)</x:f>
        <x:v>1</x:v>
      </x:c>
      <x:c r="F124" s="563" t="n">
        <x:f>MAX(C124*E124,0)</x:f>
        <x:v>443.97248688000184</x:v>
      </x:c>
      <x:c r="G124" s="563" t="n">
        <x:f>MAX(MIN('詳細設定'!$D$15,1),0)</x:f>
        <x:v>0.4</x:v>
      </x:c>
      <x:c r="H124" s="563" t="n">
        <x:f>MAX(MIN(F124*G124,D124),0)</x:f>
        <x:v>177.58899475200076</x:v>
      </x:c>
      <x:c r="I124" s="563" t="n">
        <x:f>MAX(F124-H124,0)</x:f>
        <x:v>266.3834921280011</x:v>
      </x:c>
      <x:c r="J124" s="185" t="n">
        <x:f>MAX('詳細設定'!$D$6,0)*(1+'詳細設定'!$D$21)^(A124-1)</x:f>
        <x:v>38.27898454395263</x:v>
      </x:c>
      <x:c r="K124" s="185" t="n">
        <x:f>IF(A124&lt;=MAX(MIN('詳細設定'!$D$8,20),0),MAX('詳細設定'!$D$7,0),IF(A124&lt;=MAX(MIN('詳細設定'!$D$10,20),0),MAX('詳細設定'!$D$9,0),MAX('詳細設定'!$D$11,0)))</x:f>
        <x:v>8.3</x:v>
      </x:c>
      <x:c r="L124" s="190" t="n">
        <x:f>H124*J124</x:f>
        <x:v>6797.926385287922</x:v>
      </x:c>
      <x:c r="M124" s="190" t="n">
        <x:f>I124*K124</x:f>
        <x:v>2210.9829846624093</x:v>
      </x:c>
      <x:c r="N124" s="190" t="n">
        <x:f>L124+M124</x:f>
        <x:v>9008.909369950332</x:v>
      </x:c>
      <x:c r="O124" s="196" t="n">
        <x:f>F124-H124-I124</x:f>
        <x:v>0</x:v>
      </x:c>
    </x:row>
    <x:row r="125">
      <x:c r="A125" s="20" t="n">
        <x:v>11</x:v>
      </x:c>
      <x:c r="B125" s="20" t="n">
        <x:v>1</x:v>
      </x:c>
      <x:c r="C125" s="563" t="n">
        <x:f>'_計算月次'!$J$5</x:f>
        <x:v>502.4147595742038</x:v>
      </x:c>
      <x:c r="D125" s="563" t="n">
        <x:f>'_計算月次'!$K$5</x:f>
        <x:v>450</x:v>
      </x:c>
      <x:c r="E125" s="585" t="n">
        <x:f>(1-MAX(MIN('詳細設定'!$D$16,0.999999),0))^(A125-1)</x:f>
        <x:v>1</x:v>
      </x:c>
      <x:c r="F125" s="563" t="n">
        <x:f>MAX(C125*E125,0)</x:f>
        <x:v>502.4147595742038</x:v>
      </x:c>
      <x:c r="G125" s="563" t="n">
        <x:f>MAX(MIN('詳細設定'!$D$15,1),0)</x:f>
        <x:v>0.4</x:v>
      </x:c>
      <x:c r="H125" s="563" t="n">
        <x:f>MAX(MIN(F125*G125,D125),0)</x:f>
        <x:v>200.96590382968154</x:v>
      </x:c>
      <x:c r="I125" s="563" t="n">
        <x:f>MAX(F125-H125,0)</x:f>
        <x:v>301.44885574452223</x:v>
      </x:c>
      <x:c r="J125" s="185" t="n">
        <x:f>MAX('詳細設定'!$D$6,0)*(1+'詳細設定'!$D$21)^(A125-1)</x:f>
        <x:v>38.66177438939216</x:v>
      </x:c>
      <x:c r="K125" s="185" t="n">
        <x:f>IF(A125&lt;=MAX(MIN('詳細設定'!$D$8,20),0),MAX('詳細設定'!$D$7,0),IF(A125&lt;=MAX(MIN('詳細設定'!$D$10,20),0),MAX('詳細設定'!$D$9,0),MAX('詳細設定'!$D$11,0)))</x:f>
        <x:v>8.3</x:v>
      </x:c>
      <x:c r="L125" s="190" t="n">
        <x:f>H125*J125</x:f>
        <x:v>7769.698433823429</x:v>
      </x:c>
      <x:c r="M125" s="190" t="n">
        <x:f>I125*K125</x:f>
        <x:v>2502.025502679535</x:v>
      </x:c>
      <x:c r="N125" s="190" t="n">
        <x:f>L125+M125</x:f>
        <x:v>10271.723936502964</x:v>
      </x:c>
      <x:c r="O125" s="196" t="n">
        <x:f>F125-H125-I125</x:f>
        <x:v>0</x:v>
      </x:c>
    </x:row>
    <x:row r="126">
      <x:c r="A126" s="20" t="n">
        <x:v>11</x:v>
      </x:c>
      <x:c r="B126" s="20" t="n">
        <x:v>2</x:v>
      </x:c>
      <x:c r="C126" s="563" t="n">
        <x:f>'_計算月次'!$J$6</x:f>
        <x:v>472.4508339500229</x:v>
      </x:c>
      <x:c r="D126" s="563" t="n">
        <x:f>'_計算月次'!$K$6</x:f>
        <x:v>405</x:v>
      </x:c>
      <x:c r="E126" s="585" t="n">
        <x:f>(1-MAX(MIN('詳細設定'!$D$16,0.999999),0))^(A126-1)</x:f>
        <x:v>1</x:v>
      </x:c>
      <x:c r="F126" s="563" t="n">
        <x:f>MAX(C126*E126,0)</x:f>
        <x:v>472.4508339500229</x:v>
      </x:c>
      <x:c r="G126" s="563" t="n">
        <x:f>MAX(MIN('詳細設定'!$D$15,1),0)</x:f>
        <x:v>0.4</x:v>
      </x:c>
      <x:c r="H126" s="563" t="n">
        <x:f>MAX(MIN(F126*G126,D126),0)</x:f>
        <x:v>188.9803335800092</x:v>
      </x:c>
      <x:c r="I126" s="563" t="n">
        <x:f>MAX(F126-H126,0)</x:f>
        <x:v>283.4705003700137</x:v>
      </x:c>
      <x:c r="J126" s="185" t="n">
        <x:f>MAX('詳細設定'!$D$6,0)*(1+'詳細設定'!$D$21)^(A126-1)</x:f>
        <x:v>38.66177438939216</x:v>
      </x:c>
      <x:c r="K126" s="185" t="n">
        <x:f>IF(A126&lt;=MAX(MIN('詳細設定'!$D$8,20),0),MAX('詳細設定'!$D$7,0),IF(A126&lt;=MAX(MIN('詳細設定'!$D$10,20),0),MAX('詳細設定'!$D$9,0),MAX('詳細設定'!$D$11,0)))</x:f>
        <x:v>8.3</x:v>
      </x:c>
      <x:c r="L126" s="190" t="n">
        <x:f>H126*J126</x:f>
        <x:v>7306.315020902386</x:v>
      </x:c>
      <x:c r="M126" s="190" t="n">
        <x:f>I126*K126</x:f>
        <x:v>2352.805153071114</x:v>
      </x:c>
      <x:c r="N126" s="190" t="n">
        <x:f>L126+M126</x:f>
        <x:v>9659.1201739735</x:v>
      </x:c>
      <x:c r="O126" s="196" t="n">
        <x:f>F126-H126-I126</x:f>
        <x:v>0</x:v>
      </x:c>
    </x:row>
    <x:row r="127">
      <x:c r="A127" s="20" t="n">
        <x:v>11</x:v>
      </x:c>
      <x:c r="B127" s="20" t="n">
        <x:v>3</x:v>
      </x:c>
      <x:c r="C127" s="563" t="n">
        <x:f>'_計算月次'!$J$7</x:f>
        <x:v>548.3418864753118</x:v>
      </x:c>
      <x:c r="D127" s="563" t="n">
        <x:f>'_計算月次'!$K$7</x:f>
        <x:v>360</x:v>
      </x:c>
      <x:c r="E127" s="585" t="n">
        <x:f>(1-MAX(MIN('詳細設定'!$D$16,0.999999),0))^(A127-1)</x:f>
        <x:v>1</x:v>
      </x:c>
      <x:c r="F127" s="563" t="n">
        <x:f>MAX(C127*E127,0)</x:f>
        <x:v>548.3418864753118</x:v>
      </x:c>
      <x:c r="G127" s="563" t="n">
        <x:f>MAX(MIN('詳細設定'!$D$15,1),0)</x:f>
        <x:v>0.4</x:v>
      </x:c>
      <x:c r="H127" s="563" t="n">
        <x:f>MAX(MIN(F127*G127,D127),0)</x:f>
        <x:v>219.3367545901247</x:v>
      </x:c>
      <x:c r="I127" s="563" t="n">
        <x:f>MAX(F127-H127,0)</x:f>
        <x:v>329.00513188518704</x:v>
      </x:c>
      <x:c r="J127" s="185" t="n">
        <x:f>MAX('詳細設定'!$D$6,0)*(1+'詳細設定'!$D$21)^(A127-1)</x:f>
        <x:v>38.66177438939216</x:v>
      </x:c>
      <x:c r="K127" s="185" t="n">
        <x:f>IF(A127&lt;=MAX(MIN('詳細設定'!$D$8,20),0),MAX('詳細設定'!$D$7,0),IF(A127&lt;=MAX(MIN('詳細設定'!$D$10,20),0),MAX('詳細設定'!$D$9,0),MAX('詳細設定'!$D$11,0)))</x:f>
        <x:v>8.3</x:v>
      </x:c>
      <x:c r="L127" s="190" t="n">
        <x:f>H127*J127</x:f>
        <x:v>8479.948121264877</x:v>
      </x:c>
      <x:c r="M127" s="190" t="n">
        <x:f>I127*K127</x:f>
        <x:v>2730.7425946470526</x:v>
      </x:c>
      <x:c r="N127" s="190" t="n">
        <x:f>L127+M127</x:f>
        <x:v>11210.69071591193</x:v>
      </x:c>
      <x:c r="O127" s="196" t="n">
        <x:f>F127-H127-I127</x:f>
        <x:v>0</x:v>
      </x:c>
    </x:row>
    <x:row r="128">
      <x:c r="A128" s="20" t="n">
        <x:v>11</x:v>
      </x:c>
      <x:c r="B128" s="20" t="n">
        <x:v>4</x:v>
      </x:c>
      <x:c r="C128" s="563" t="n">
        <x:f>'_計算月次'!$J$8</x:f>
        <x:v>548.3944393749554</x:v>
      </x:c>
      <x:c r="D128" s="563" t="n">
        <x:f>'_計算月次'!$K$8</x:f>
        <x:v>315.00000000000006</x:v>
      </x:c>
      <x:c r="E128" s="585" t="n">
        <x:f>(1-MAX(MIN('詳細設定'!$D$16,0.999999),0))^(A128-1)</x:f>
        <x:v>1</x:v>
      </x:c>
      <x:c r="F128" s="563" t="n">
        <x:f>MAX(C128*E128,0)</x:f>
        <x:v>548.3944393749554</x:v>
      </x:c>
      <x:c r="G128" s="563" t="n">
        <x:f>MAX(MIN('詳細設定'!$D$15,1),0)</x:f>
        <x:v>0.4</x:v>
      </x:c>
      <x:c r="H128" s="563" t="n">
        <x:f>MAX(MIN(F128*G128,D128),0)</x:f>
        <x:v>219.35777574998215</x:v>
      </x:c>
      <x:c r="I128" s="563" t="n">
        <x:f>MAX(F128-H128,0)</x:f>
        <x:v>329.03666362497324</x:v>
      </x:c>
      <x:c r="J128" s="185" t="n">
        <x:f>MAX('詳細設定'!$D$6,0)*(1+'詳細設定'!$D$21)^(A128-1)</x:f>
        <x:v>38.66177438939216</x:v>
      </x:c>
      <x:c r="K128" s="185" t="n">
        <x:f>IF(A128&lt;=MAX(MIN('詳細設定'!$D$8,20),0),MAX('詳細設定'!$D$7,0),IF(A128&lt;=MAX(MIN('詳細設定'!$D$10,20),0),MAX('詳細設定'!$D$9,0),MAX('詳細設定'!$D$11,0)))</x:f>
        <x:v>8.3</x:v>
      </x:c>
      <x:c r="L128" s="190" t="n">
        <x:f>H128*J128</x:f>
        <x:v>8480.760836604688</x:v>
      </x:c>
      <x:c r="M128" s="190" t="n">
        <x:f>I128*K128</x:f>
        <x:v>2731.0043080872783</x:v>
      </x:c>
      <x:c r="N128" s="190" t="n">
        <x:f>L128+M128</x:f>
        <x:v>11211.765144691966</x:v>
      </x:c>
      <x:c r="O128" s="196" t="n">
        <x:f>F128-H128-I128</x:f>
        <x:v>0</x:v>
      </x:c>
    </x:row>
    <x:row r="129">
      <x:c r="A129" s="20" t="n">
        <x:v>11</x:v>
      </x:c>
      <x:c r="B129" s="20" t="n">
        <x:v>5</x:v>
      </x:c>
      <x:c r="C129" s="563" t="n">
        <x:f>'_計算月次'!$J$9</x:f>
        <x:v>552.2367574934775</x:v>
      </x:c>
      <x:c r="D129" s="563" t="n">
        <x:f>'_計算月次'!$K$9</x:f>
        <x:v>315.00000000000006</x:v>
      </x:c>
      <x:c r="E129" s="585" t="n">
        <x:f>(1-MAX(MIN('詳細設定'!$D$16,0.999999),0))^(A129-1)</x:f>
        <x:v>1</x:v>
      </x:c>
      <x:c r="F129" s="563" t="n">
        <x:f>MAX(C129*E129,0)</x:f>
        <x:v>552.2367574934775</x:v>
      </x:c>
      <x:c r="G129" s="563" t="n">
        <x:f>MAX(MIN('詳細設定'!$D$15,1),0)</x:f>
        <x:v>0.4</x:v>
      </x:c>
      <x:c r="H129" s="563" t="n">
        <x:f>MAX(MIN(F129*G129,D129),0)</x:f>
        <x:v>220.89470299739102</x:v>
      </x:c>
      <x:c r="I129" s="563" t="n">
        <x:f>MAX(F129-H129,0)</x:f>
        <x:v>331.34205449608646</x:v>
      </x:c>
      <x:c r="J129" s="185" t="n">
        <x:f>MAX('詳細設定'!$D$6,0)*(1+'詳細設定'!$D$21)^(A129-1)</x:f>
        <x:v>38.66177438939216</x:v>
      </x:c>
      <x:c r="K129" s="185" t="n">
        <x:f>IF(A129&lt;=MAX(MIN('詳細設定'!$D$8,20),0),MAX('詳細設定'!$D$7,0),IF(A129&lt;=MAX(MIN('詳細設定'!$D$10,20),0),MAX('詳細設定'!$D$9,0),MAX('詳細設定'!$D$11,0)))</x:f>
        <x:v>8.3</x:v>
      </x:c>
      <x:c r="L129" s="190" t="n">
        <x:f>H129*J129</x:f>
        <x:v>8540.18117109692</x:v>
      </x:c>
      <x:c r="M129" s="190" t="n">
        <x:f>I129*K129</x:f>
        <x:v>2750.139052317518</x:v>
      </x:c>
      <x:c r="N129" s="190" t="n">
        <x:f>L129+M129</x:f>
        <x:v>11290.320223414437</x:v>
      </x:c>
      <x:c r="O129" s="196" t="n">
        <x:f>F129-H129-I129</x:f>
        <x:v>0</x:v>
      </x:c>
    </x:row>
    <x:row r="130">
      <x:c r="A130" s="20" t="n">
        <x:v>11</x:v>
      </x:c>
      <x:c r="B130" s="20" t="n">
        <x:v>6</x:v>
      </x:c>
      <x:c r="C130" s="563" t="n">
        <x:f>'_計算月次'!$J$10</x:f>
        <x:v>448.7994857612148</x:v>
      </x:c>
      <x:c r="D130" s="563" t="n">
        <x:f>'_計算月次'!$K$10</x:f>
        <x:v>360</x:v>
      </x:c>
      <x:c r="E130" s="585" t="n">
        <x:f>(1-MAX(MIN('詳細設定'!$D$16,0.999999),0))^(A130-1)</x:f>
        <x:v>1</x:v>
      </x:c>
      <x:c r="F130" s="563" t="n">
        <x:f>MAX(C130*E130,0)</x:f>
        <x:v>448.7994857612148</x:v>
      </x:c>
      <x:c r="G130" s="563" t="n">
        <x:f>MAX(MIN('詳細設定'!$D$15,1),0)</x:f>
        <x:v>0.4</x:v>
      </x:c>
      <x:c r="H130" s="563" t="n">
        <x:f>MAX(MIN(F130*G130,D130),0)</x:f>
        <x:v>179.5197943044859</x:v>
      </x:c>
      <x:c r="I130" s="563" t="n">
        <x:f>MAX(F130-H130,0)</x:f>
        <x:v>269.27969145672887</x:v>
      </x:c>
      <x:c r="J130" s="185" t="n">
        <x:f>MAX('詳細設定'!$D$6,0)*(1+'詳細設定'!$D$21)^(A130-1)</x:f>
        <x:v>38.66177438939216</x:v>
      </x:c>
      <x:c r="K130" s="185" t="n">
        <x:f>IF(A130&lt;=MAX(MIN('詳細設定'!$D$8,20),0),MAX('詳細設定'!$D$7,0),IF(A130&lt;=MAX(MIN('詳細設定'!$D$10,20),0),MAX('詳細設定'!$D$9,0),MAX('詳細設定'!$D$11,0)))</x:f>
        <x:v>8.3</x:v>
      </x:c>
      <x:c r="L130" s="190" t="n">
        <x:f>H130*J130</x:f>
        <x:v>6940.553785830121</x:v>
      </x:c>
      <x:c r="M130" s="190" t="n">
        <x:f>I130*K130</x:f>
        <x:v>2235.02143909085</x:v>
      </x:c>
      <x:c r="N130" s="190" t="n">
        <x:f>L130+M130</x:f>
        <x:v>9175.57522492097</x:v>
      </x:c>
      <x:c r="O130" s="196" t="n">
        <x:f>F130-H130-I130</x:f>
        <x:v>0</x:v>
      </x:c>
    </x:row>
    <x:row r="131">
      <x:c r="A131" s="20" t="n">
        <x:v>11</x:v>
      </x:c>
      <x:c r="B131" s="20" t="n">
        <x:v>7</x:v>
      </x:c>
      <x:c r="C131" s="563" t="n">
        <x:f>'_計算月次'!$J$11</x:f>
        <x:v>476.0181638067866</x:v>
      </x:c>
      <x:c r="D131" s="563" t="n">
        <x:f>'_計算月次'!$K$11</x:f>
        <x:v>405</x:v>
      </x:c>
      <x:c r="E131" s="585" t="n">
        <x:f>(1-MAX(MIN('詳細設定'!$D$16,0.999999),0))^(A131-1)</x:f>
        <x:v>1</x:v>
      </x:c>
      <x:c r="F131" s="563" t="n">
        <x:f>MAX(C131*E131,0)</x:f>
        <x:v>476.0181638067866</x:v>
      </x:c>
      <x:c r="G131" s="563" t="n">
        <x:f>MAX(MIN('詳細設定'!$D$15,1),0)</x:f>
        <x:v>0.4</x:v>
      </x:c>
      <x:c r="H131" s="563" t="n">
        <x:f>MAX(MIN(F131*G131,D131),0)</x:f>
        <x:v>190.40726552271465</x:v>
      </x:c>
      <x:c r="I131" s="563" t="n">
        <x:f>MAX(F131-H131,0)</x:f>
        <x:v>285.61089828407194</x:v>
      </x:c>
      <x:c r="J131" s="185" t="n">
        <x:f>MAX('詳細設定'!$D$6,0)*(1+'詳細設定'!$D$21)^(A131-1)</x:f>
        <x:v>38.66177438939216</x:v>
      </x:c>
      <x:c r="K131" s="185" t="n">
        <x:f>IF(A131&lt;=MAX(MIN('詳細設定'!$D$8,20),0),MAX('詳細設定'!$D$7,0),IF(A131&lt;=MAX(MIN('詳細設定'!$D$10,20),0),MAX('詳細設定'!$D$9,0),MAX('詳細設定'!$D$11,0)))</x:f>
        <x:v>8.3</x:v>
      </x:c>
      <x:c r="L131" s="190" t="n">
        <x:f>H131*J131</x:f>
        <x:v>7361.482741740281</x:v>
      </x:c>
      <x:c r="M131" s="190" t="n">
        <x:f>I131*K131</x:f>
        <x:v>2370.5704557577974</x:v>
      </x:c>
      <x:c r="N131" s="190" t="n">
        <x:f>L131+M131</x:f>
        <x:v>9732.053197498079</x:v>
      </x:c>
      <x:c r="O131" s="196" t="n">
        <x:f>F131-H131-I131</x:f>
        <x:v>0</x:v>
      </x:c>
    </x:row>
    <x:row r="132">
      <x:c r="A132" s="20" t="n">
        <x:v>11</x:v>
      </x:c>
      <x:c r="B132" s="20" t="n">
        <x:v>8</x:v>
      </x:c>
      <x:c r="C132" s="563" t="n">
        <x:f>'_計算月次'!$J$12</x:f>
        <x:v>528.6548067323699</x:v>
      </x:c>
      <x:c r="D132" s="563" t="n">
        <x:f>'_計算月次'!$K$12</x:f>
        <x:v>450</x:v>
      </x:c>
      <x:c r="E132" s="585" t="n">
        <x:f>(1-MAX(MIN('詳細設定'!$D$16,0.999999),0))^(A132-1)</x:f>
        <x:v>1</x:v>
      </x:c>
      <x:c r="F132" s="563" t="n">
        <x:f>MAX(C132*E132,0)</x:f>
        <x:v>528.6548067323699</x:v>
      </x:c>
      <x:c r="G132" s="563" t="n">
        <x:f>MAX(MIN('詳細設定'!$D$15,1),0)</x:f>
        <x:v>0.4</x:v>
      </x:c>
      <x:c r="H132" s="563" t="n">
        <x:f>MAX(MIN(F132*G132,D132),0)</x:f>
        <x:v>211.46192269294798</x:v>
      </x:c>
      <x:c r="I132" s="563" t="n">
        <x:f>MAX(F132-H132,0)</x:f>
        <x:v>317.192884039422</x:v>
      </x:c>
      <x:c r="J132" s="185" t="n">
        <x:f>MAX('詳細設定'!$D$6,0)*(1+'詳細設定'!$D$21)^(A132-1)</x:f>
        <x:v>38.66177438939216</x:v>
      </x:c>
      <x:c r="K132" s="185" t="n">
        <x:f>IF(A132&lt;=MAX(MIN('詳細設定'!$D$8,20),0),MAX('詳細設定'!$D$7,0),IF(A132&lt;=MAX(MIN('詳細設定'!$D$10,20),0),MAX('詳細設定'!$D$9,0),MAX('詳細設定'!$D$11,0)))</x:f>
        <x:v>8.3</x:v>
      </x:c>
      <x:c r="L132" s="190" t="n">
        <x:f>H132*J132</x:f>
        <x:v>8175.493147101841</x:v>
      </x:c>
      <x:c r="M132" s="190" t="n">
        <x:f>I132*K132</x:f>
        <x:v>2632.7009375272028</x:v>
      </x:c>
      <x:c r="N132" s="190" t="n">
        <x:f>L132+M132</x:f>
        <x:v>10808.194084629044</x:v>
      </x:c>
      <x:c r="O132" s="196" t="n">
        <x:f>F132-H132-I132</x:f>
        <x:v>0</x:v>
      </x:c>
    </x:row>
    <x:row r="133">
      <x:c r="A133" s="20" t="n">
        <x:v>11</x:v>
      </x:c>
      <x:c r="B133" s="20" t="n">
        <x:v>9</x:v>
      </x:c>
      <x:c r="C133" s="563" t="n">
        <x:f>'_計算月次'!$J$13</x:f>
        <x:v>436.37734765103465</x:v>
      </x:c>
      <x:c r="D133" s="563" t="n">
        <x:f>'_計算月次'!$K$13</x:f>
        <x:v>360</x:v>
      </x:c>
      <x:c r="E133" s="585" t="n">
        <x:f>(1-MAX(MIN('詳細設定'!$D$16,0.999999),0))^(A133-1)</x:f>
        <x:v>1</x:v>
      </x:c>
      <x:c r="F133" s="563" t="n">
        <x:f>MAX(C133*E133,0)</x:f>
        <x:v>436.37734765103465</x:v>
      </x:c>
      <x:c r="G133" s="563" t="n">
        <x:f>MAX(MIN('詳細設定'!$D$15,1),0)</x:f>
        <x:v>0.4</x:v>
      </x:c>
      <x:c r="H133" s="563" t="n">
        <x:f>MAX(MIN(F133*G133,D133),0)</x:f>
        <x:v>174.55093906041387</x:v>
      </x:c>
      <x:c r="I133" s="563" t="n">
        <x:f>MAX(F133-H133,0)</x:f>
        <x:v>261.82640859062076</x:v>
      </x:c>
      <x:c r="J133" s="185" t="n">
        <x:f>MAX('詳細設定'!$D$6,0)*(1+'詳細設定'!$D$21)^(A133-1)</x:f>
        <x:v>38.66177438939216</x:v>
      </x:c>
      <x:c r="K133" s="185" t="n">
        <x:f>IF(A133&lt;=MAX(MIN('詳細設定'!$D$8,20),0),MAX('詳細設定'!$D$7,0),IF(A133&lt;=MAX(MIN('詳細設定'!$D$10,20),0),MAX('詳細設定'!$D$9,0),MAX('詳細設定'!$D$11,0)))</x:f>
        <x:v>8.3</x:v>
      </x:c>
      <x:c r="L133" s="190" t="n">
        <x:f>H133*J133</x:f>
        <x:v>6748.44902541026</x:v>
      </x:c>
      <x:c r="M133" s="190" t="n">
        <x:f>I133*K133</x:f>
        <x:v>2173.1591913021525</x:v>
      </x:c>
      <x:c r="N133" s="190" t="n">
        <x:f>L133+M133</x:f>
        <x:v>8921.608216712413</x:v>
      </x:c>
      <x:c r="O133" s="196" t="n">
        <x:f>F133-H133-I133</x:f>
        <x:v>0</x:v>
      </x:c>
    </x:row>
    <x:row r="134">
      <x:c r="A134" s="20" t="n">
        <x:v>11</x:v>
      </x:c>
      <x:c r="B134" s="20" t="n">
        <x:v>10</x:v>
      </x:c>
      <x:c r="C134" s="563" t="n">
        <x:f>'_計算月次'!$J$14</x:f>
        <x:v>408.8269849869007</x:v>
      </x:c>
      <x:c r="D134" s="563" t="n">
        <x:f>'_計算月次'!$K$14</x:f>
        <x:v>315.00000000000006</x:v>
      </x:c>
      <x:c r="E134" s="585" t="n">
        <x:f>(1-MAX(MIN('詳細設定'!$D$16,0.999999),0))^(A134-1)</x:f>
        <x:v>1</x:v>
      </x:c>
      <x:c r="F134" s="563" t="n">
        <x:f>MAX(C134*E134,0)</x:f>
        <x:v>408.8269849869007</x:v>
      </x:c>
      <x:c r="G134" s="563" t="n">
        <x:f>MAX(MIN('詳細設定'!$D$15,1),0)</x:f>
        <x:v>0.4</x:v>
      </x:c>
      <x:c r="H134" s="563" t="n">
        <x:f>MAX(MIN(F134*G134,D134),0)</x:f>
        <x:v>163.5307939947603</x:v>
      </x:c>
      <x:c r="I134" s="563" t="n">
        <x:f>MAX(F134-H134,0)</x:f>
        <x:v>245.2961909921404</x:v>
      </x:c>
      <x:c r="J134" s="185" t="n">
        <x:f>MAX('詳細設定'!$D$6,0)*(1+'詳細設定'!$D$21)^(A134-1)</x:f>
        <x:v>38.66177438939216</x:v>
      </x:c>
      <x:c r="K134" s="185" t="n">
        <x:f>IF(A134&lt;=MAX(MIN('詳細設定'!$D$8,20),0),MAX('詳細設定'!$D$7,0),IF(A134&lt;=MAX(MIN('詳細設定'!$D$10,20),0),MAX('詳細設定'!$D$9,0),MAX('詳細設定'!$D$11,0)))</x:f>
        <x:v>8.3</x:v>
      </x:c>
      <x:c r="L134" s="190" t="n">
        <x:f>H134*J134</x:f>
        <x:v>6322.390663143588</x:v>
      </x:c>
      <x:c r="M134" s="190" t="n">
        <x:f>I134*K134</x:f>
        <x:v>2035.9583852347655</x:v>
      </x:c>
      <x:c r="N134" s="190" t="n">
        <x:f>L134+M134</x:f>
        <x:v>8358.349048378353</x:v>
      </x:c>
      <x:c r="O134" s="196" t="n">
        <x:f>F134-H134-I134</x:f>
        <x:v>0</x:v>
      </x:c>
    </x:row>
    <x:row r="135">
      <x:c r="A135" s="20" t="n">
        <x:v>11</x:v>
      </x:c>
      <x:c r="B135" s="20" t="n">
        <x:v>11</x:v>
      </x:c>
      <x:c r="C135" s="563" t="n">
        <x:f>'_計算月次'!$J$15</x:f>
        <x:v>398.45169764745054</x:v>
      </x:c>
      <x:c r="D135" s="563" t="n">
        <x:f>'_計算月次'!$K$15</x:f>
        <x:v>360</x:v>
      </x:c>
      <x:c r="E135" s="585" t="n">
        <x:f>(1-MAX(MIN('詳細設定'!$D$16,0.999999),0))^(A135-1)</x:f>
        <x:v>1</x:v>
      </x:c>
      <x:c r="F135" s="563" t="n">
        <x:f>MAX(C135*E135,0)</x:f>
        <x:v>398.45169764745054</x:v>
      </x:c>
      <x:c r="G135" s="563" t="n">
        <x:f>MAX(MIN('詳細設定'!$D$15,1),0)</x:f>
        <x:v>0.4</x:v>
      </x:c>
      <x:c r="H135" s="563" t="n">
        <x:f>MAX(MIN(F135*G135,D135),0)</x:f>
        <x:v>159.38067905898023</x:v>
      </x:c>
      <x:c r="I135" s="563" t="n">
        <x:f>MAX(F135-H135,0)</x:f>
        <x:v>239.0710185884703</x:v>
      </x:c>
      <x:c r="J135" s="185" t="n">
        <x:f>MAX('詳細設定'!$D$6,0)*(1+'詳細設定'!$D$21)^(A135-1)</x:f>
        <x:v>38.66177438939216</x:v>
      </x:c>
      <x:c r="K135" s="185" t="n">
        <x:f>IF(A135&lt;=MAX(MIN('詳細設定'!$D$8,20),0),MAX('詳細設定'!$D$7,0),IF(A135&lt;=MAX(MIN('詳細設定'!$D$10,20),0),MAX('詳細設定'!$D$9,0),MAX('詳細設定'!$D$11,0)))</x:f>
        <x:v>8.3</x:v>
      </x:c>
      <x:c r="L135" s="190" t="n">
        <x:f>H135*J135</x:f>
        <x:v>6161.939855806413</x:v>
      </x:c>
      <x:c r="M135" s="190" t="n">
        <x:f>I135*K135</x:f>
        <x:v>1984.2894542843037</x:v>
      </x:c>
      <x:c r="N135" s="190" t="n">
        <x:f>L135+M135</x:f>
        <x:v>8146.229310090717</x:v>
      </x:c>
      <x:c r="O135" s="196" t="n">
        <x:f>F135-H135-I135</x:f>
        <x:v>0</x:v>
      </x:c>
    </x:row>
    <x:row r="136">
      <x:c r="A136" s="20" t="n">
        <x:v>11</x:v>
      </x:c>
      <x:c r="B136" s="20" t="n">
        <x:v>12</x:v>
      </x:c>
      <x:c r="C136" s="563" t="n">
        <x:f>'_計算月次'!$J$16</x:f>
        <x:v>443.97248688000184</x:v>
      </x:c>
      <x:c r="D136" s="563" t="n">
        <x:f>'_計算月次'!$K$16</x:f>
        <x:v>405</x:v>
      </x:c>
      <x:c r="E136" s="585" t="n">
        <x:f>(1-MAX(MIN('詳細設定'!$D$16,0.999999),0))^(A136-1)</x:f>
        <x:v>1</x:v>
      </x:c>
      <x:c r="F136" s="563" t="n">
        <x:f>MAX(C136*E136,0)</x:f>
        <x:v>443.97248688000184</x:v>
      </x:c>
      <x:c r="G136" s="563" t="n">
        <x:f>MAX(MIN('詳細設定'!$D$15,1),0)</x:f>
        <x:v>0.4</x:v>
      </x:c>
      <x:c r="H136" s="563" t="n">
        <x:f>MAX(MIN(F136*G136,D136),0)</x:f>
        <x:v>177.58899475200076</x:v>
      </x:c>
      <x:c r="I136" s="563" t="n">
        <x:f>MAX(F136-H136,0)</x:f>
        <x:v>266.3834921280011</x:v>
      </x:c>
      <x:c r="J136" s="185" t="n">
        <x:f>MAX('詳細設定'!$D$6,0)*(1+'詳細設定'!$D$21)^(A136-1)</x:f>
        <x:v>38.66177438939216</x:v>
      </x:c>
      <x:c r="K136" s="185" t="n">
        <x:f>IF(A136&lt;=MAX(MIN('詳細設定'!$D$8,20),0),MAX('詳細設定'!$D$7,0),IF(A136&lt;=MAX(MIN('詳細設定'!$D$10,20),0),MAX('詳細設定'!$D$9,0),MAX('詳細設定'!$D$11,0)))</x:f>
        <x:v>8.3</x:v>
      </x:c>
      <x:c r="L136" s="190" t="n">
        <x:f>H136*J136</x:f>
        <x:v>6865.905649140801</x:v>
      </x:c>
      <x:c r="M136" s="190" t="n">
        <x:f>I136*K136</x:f>
        <x:v>2210.9829846624093</x:v>
      </x:c>
      <x:c r="N136" s="190" t="n">
        <x:f>L136+M136</x:f>
        <x:v>9076.88863380321</x:v>
      </x:c>
      <x:c r="O136" s="196" t="n">
        <x:f>F136-H136-I136</x:f>
        <x:v>0</x:v>
      </x:c>
    </x:row>
    <x:row r="137">
      <x:c r="A137" s="20" t="n">
        <x:v>12</x:v>
      </x:c>
      <x:c r="B137" s="20" t="n">
        <x:v>1</x:v>
      </x:c>
      <x:c r="C137" s="563" t="n">
        <x:f>'_計算月次'!$J$5</x:f>
        <x:v>502.4147595742038</x:v>
      </x:c>
      <x:c r="D137" s="563" t="n">
        <x:f>'_計算月次'!$K$5</x:f>
        <x:v>450</x:v>
      </x:c>
      <x:c r="E137" s="585" t="n">
        <x:f>(1-MAX(MIN('詳細設定'!$D$16,0.999999),0))^(A137-1)</x:f>
        <x:v>1</x:v>
      </x:c>
      <x:c r="F137" s="563" t="n">
        <x:f>MAX(C137*E137,0)</x:f>
        <x:v>502.4147595742038</x:v>
      </x:c>
      <x:c r="G137" s="563" t="n">
        <x:f>MAX(MIN('詳細設定'!$D$15,1),0)</x:f>
        <x:v>0.4</x:v>
      </x:c>
      <x:c r="H137" s="563" t="n">
        <x:f>MAX(MIN(F137*G137,D137),0)</x:f>
        <x:v>200.96590382968154</x:v>
      </x:c>
      <x:c r="I137" s="563" t="n">
        <x:f>MAX(F137-H137,0)</x:f>
        <x:v>301.44885574452223</x:v>
      </x:c>
      <x:c r="J137" s="185" t="n">
        <x:f>MAX('詳細設定'!$D$6,0)*(1+'詳細設定'!$D$21)^(A137-1)</x:f>
        <x:v>39.04839213328608</x:v>
      </x:c>
      <x:c r="K137" s="185" t="n">
        <x:f>IF(A137&lt;=MAX(MIN('詳細設定'!$D$8,20),0),MAX('詳細設定'!$D$7,0),IF(A137&lt;=MAX(MIN('詳細設定'!$D$10,20),0),MAX('詳細設定'!$D$9,0),MAX('詳細設定'!$D$11,0)))</x:f>
        <x:v>8.3</x:v>
      </x:c>
      <x:c r="L137" s="190" t="n">
        <x:f>H137*J137</x:f>
        <x:v>7847.395418161663</x:v>
      </x:c>
      <x:c r="M137" s="190" t="n">
        <x:f>I137*K137</x:f>
        <x:v>2502.025502679535</x:v>
      </x:c>
      <x:c r="N137" s="190" t="n">
        <x:f>L137+M137</x:f>
        <x:v>10349.420920841198</x:v>
      </x:c>
      <x:c r="O137" s="196" t="n">
        <x:f>F137-H137-I137</x:f>
        <x:v>0</x:v>
      </x:c>
    </x:row>
    <x:row r="138">
      <x:c r="A138" s="20" t="n">
        <x:v>12</x:v>
      </x:c>
      <x:c r="B138" s="20" t="n">
        <x:v>2</x:v>
      </x:c>
      <x:c r="C138" s="563" t="n">
        <x:f>'_計算月次'!$J$6</x:f>
        <x:v>472.4508339500229</x:v>
      </x:c>
      <x:c r="D138" s="563" t="n">
        <x:f>'_計算月次'!$K$6</x:f>
        <x:v>405</x:v>
      </x:c>
      <x:c r="E138" s="585" t="n">
        <x:f>(1-MAX(MIN('詳細設定'!$D$16,0.999999),0))^(A138-1)</x:f>
        <x:v>1</x:v>
      </x:c>
      <x:c r="F138" s="563" t="n">
        <x:f>MAX(C138*E138,0)</x:f>
        <x:v>472.4508339500229</x:v>
      </x:c>
      <x:c r="G138" s="563" t="n">
        <x:f>MAX(MIN('詳細設定'!$D$15,1),0)</x:f>
        <x:v>0.4</x:v>
      </x:c>
      <x:c r="H138" s="563" t="n">
        <x:f>MAX(MIN(F138*G138,D138),0)</x:f>
        <x:v>188.9803335800092</x:v>
      </x:c>
      <x:c r="I138" s="563" t="n">
        <x:f>MAX(F138-H138,0)</x:f>
        <x:v>283.4705003700137</x:v>
      </x:c>
      <x:c r="J138" s="185" t="n">
        <x:f>MAX('詳細設定'!$D$6,0)*(1+'詳細設定'!$D$21)^(A138-1)</x:f>
        <x:v>39.04839213328608</x:v>
      </x:c>
      <x:c r="K138" s="185" t="n">
        <x:f>IF(A138&lt;=MAX(MIN('詳細設定'!$D$8,20),0),MAX('詳細設定'!$D$7,0),IF(A138&lt;=MAX(MIN('詳細設定'!$D$10,20),0),MAX('詳細設定'!$D$9,0),MAX('詳細設定'!$D$11,0)))</x:f>
        <x:v>8.3</x:v>
      </x:c>
      <x:c r="L138" s="190" t="n">
        <x:f>H138*J138</x:f>
        <x:v>7379.37817111141</x:v>
      </x:c>
      <x:c r="M138" s="190" t="n">
        <x:f>I138*K138</x:f>
        <x:v>2352.805153071114</x:v>
      </x:c>
      <x:c r="N138" s="190" t="n">
        <x:f>L138+M138</x:f>
        <x:v>9732.183324182524</x:v>
      </x:c>
      <x:c r="O138" s="196" t="n">
        <x:f>F138-H138-I138</x:f>
        <x:v>0</x:v>
      </x:c>
    </x:row>
    <x:row r="139">
      <x:c r="A139" s="20" t="n">
        <x:v>12</x:v>
      </x:c>
      <x:c r="B139" s="20" t="n">
        <x:v>3</x:v>
      </x:c>
      <x:c r="C139" s="563" t="n">
        <x:f>'_計算月次'!$J$7</x:f>
        <x:v>548.3418864753118</x:v>
      </x:c>
      <x:c r="D139" s="563" t="n">
        <x:f>'_計算月次'!$K$7</x:f>
        <x:v>360</x:v>
      </x:c>
      <x:c r="E139" s="585" t="n">
        <x:f>(1-MAX(MIN('詳細設定'!$D$16,0.999999),0))^(A139-1)</x:f>
        <x:v>1</x:v>
      </x:c>
      <x:c r="F139" s="563" t="n">
        <x:f>MAX(C139*E139,0)</x:f>
        <x:v>548.3418864753118</x:v>
      </x:c>
      <x:c r="G139" s="563" t="n">
        <x:f>MAX(MIN('詳細設定'!$D$15,1),0)</x:f>
        <x:v>0.4</x:v>
      </x:c>
      <x:c r="H139" s="563" t="n">
        <x:f>MAX(MIN(F139*G139,D139),0)</x:f>
        <x:v>219.3367545901247</x:v>
      </x:c>
      <x:c r="I139" s="563" t="n">
        <x:f>MAX(F139-H139,0)</x:f>
        <x:v>329.00513188518704</x:v>
      </x:c>
      <x:c r="J139" s="185" t="n">
        <x:f>MAX('詳細設定'!$D$6,0)*(1+'詳細設定'!$D$21)^(A139-1)</x:f>
        <x:v>39.04839213328608</x:v>
      </x:c>
      <x:c r="K139" s="185" t="n">
        <x:f>IF(A139&lt;=MAX(MIN('詳細設定'!$D$8,20),0),MAX('詳細設定'!$D$7,0),IF(A139&lt;=MAX(MIN('詳細設定'!$D$10,20),0),MAX('詳細設定'!$D$9,0),MAX('詳細設定'!$D$11,0)))</x:f>
        <x:v>8.3</x:v>
      </x:c>
      <x:c r="L139" s="190" t="n">
        <x:f>H139*J139</x:f>
        <x:v>8564.747602477524</x:v>
      </x:c>
      <x:c r="M139" s="190" t="n">
        <x:f>I139*K139</x:f>
        <x:v>2730.7425946470526</x:v>
      </x:c>
      <x:c r="N139" s="190" t="n">
        <x:f>L139+M139</x:f>
        <x:v>11295.490197124576</x:v>
      </x:c>
      <x:c r="O139" s="196" t="n">
        <x:f>F139-H139-I139</x:f>
        <x:v>0</x:v>
      </x:c>
    </x:row>
    <x:row r="140">
      <x:c r="A140" s="20" t="n">
        <x:v>12</x:v>
      </x:c>
      <x:c r="B140" s="20" t="n">
        <x:v>4</x:v>
      </x:c>
      <x:c r="C140" s="563" t="n">
        <x:f>'_計算月次'!$J$8</x:f>
        <x:v>548.3944393749554</x:v>
      </x:c>
      <x:c r="D140" s="563" t="n">
        <x:f>'_計算月次'!$K$8</x:f>
        <x:v>315.00000000000006</x:v>
      </x:c>
      <x:c r="E140" s="585" t="n">
        <x:f>(1-MAX(MIN('詳細設定'!$D$16,0.999999),0))^(A140-1)</x:f>
        <x:v>1</x:v>
      </x:c>
      <x:c r="F140" s="563" t="n">
        <x:f>MAX(C140*E140,0)</x:f>
        <x:v>548.3944393749554</x:v>
      </x:c>
      <x:c r="G140" s="563" t="n">
        <x:f>MAX(MIN('詳細設定'!$D$15,1),0)</x:f>
        <x:v>0.4</x:v>
      </x:c>
      <x:c r="H140" s="563" t="n">
        <x:f>MAX(MIN(F140*G140,D140),0)</x:f>
        <x:v>219.35777574998215</x:v>
      </x:c>
      <x:c r="I140" s="563" t="n">
        <x:f>MAX(F140-H140,0)</x:f>
        <x:v>329.03666362497324</x:v>
      </x:c>
      <x:c r="J140" s="185" t="n">
        <x:f>MAX('詳細設定'!$D$6,0)*(1+'詳細設定'!$D$21)^(A140-1)</x:f>
        <x:v>39.04839213328608</x:v>
      </x:c>
      <x:c r="K140" s="185" t="n">
        <x:f>IF(A140&lt;=MAX(MIN('詳細設定'!$D$8,20),0),MAX('詳細設定'!$D$7,0),IF(A140&lt;=MAX(MIN('詳細設定'!$D$10,20),0),MAX('詳細設定'!$D$9,0),MAX('詳細設定'!$D$11,0)))</x:f>
        <x:v>8.3</x:v>
      </x:c>
      <x:c r="L140" s="190" t="n">
        <x:f>H140*J140</x:f>
        <x:v>8565.568444970735</x:v>
      </x:c>
      <x:c r="M140" s="190" t="n">
        <x:f>I140*K140</x:f>
        <x:v>2731.0043080872783</x:v>
      </x:c>
      <x:c r="N140" s="190" t="n">
        <x:f>L140+M140</x:f>
        <x:v>11296.572753058013</x:v>
      </x:c>
      <x:c r="O140" s="196" t="n">
        <x:f>F140-H140-I140</x:f>
        <x:v>0</x:v>
      </x:c>
    </x:row>
    <x:row r="141">
      <x:c r="A141" s="20" t="n">
        <x:v>12</x:v>
      </x:c>
      <x:c r="B141" s="20" t="n">
        <x:v>5</x:v>
      </x:c>
      <x:c r="C141" s="563" t="n">
        <x:f>'_計算月次'!$J$9</x:f>
        <x:v>552.2367574934775</x:v>
      </x:c>
      <x:c r="D141" s="563" t="n">
        <x:f>'_計算月次'!$K$9</x:f>
        <x:v>315.00000000000006</x:v>
      </x:c>
      <x:c r="E141" s="585" t="n">
        <x:f>(1-MAX(MIN('詳細設定'!$D$16,0.999999),0))^(A141-1)</x:f>
        <x:v>1</x:v>
      </x:c>
      <x:c r="F141" s="563" t="n">
        <x:f>MAX(C141*E141,0)</x:f>
        <x:v>552.2367574934775</x:v>
      </x:c>
      <x:c r="G141" s="563" t="n">
        <x:f>MAX(MIN('詳細設定'!$D$15,1),0)</x:f>
        <x:v>0.4</x:v>
      </x:c>
      <x:c r="H141" s="563" t="n">
        <x:f>MAX(MIN(F141*G141,D141),0)</x:f>
        <x:v>220.89470299739102</x:v>
      </x:c>
      <x:c r="I141" s="563" t="n">
        <x:f>MAX(F141-H141,0)</x:f>
        <x:v>331.34205449608646</x:v>
      </x:c>
      <x:c r="J141" s="185" t="n">
        <x:f>MAX('詳細設定'!$D$6,0)*(1+'詳細設定'!$D$21)^(A141-1)</x:f>
        <x:v>39.04839213328608</x:v>
      </x:c>
      <x:c r="K141" s="185" t="n">
        <x:f>IF(A141&lt;=MAX(MIN('詳細設定'!$D$8,20),0),MAX('詳細設定'!$D$7,0),IF(A141&lt;=MAX(MIN('詳細設定'!$D$10,20),0),MAX('詳細設定'!$D$9,0),MAX('詳細設定'!$D$11,0)))</x:f>
        <x:v>8.3</x:v>
      </x:c>
      <x:c r="L141" s="190" t="n">
        <x:f>H141*J141</x:f>
        <x:v>8625.582982807888</x:v>
      </x:c>
      <x:c r="M141" s="190" t="n">
        <x:f>I141*K141</x:f>
        <x:v>2750.139052317518</x:v>
      </x:c>
      <x:c r="N141" s="190" t="n">
        <x:f>L141+M141</x:f>
        <x:v>11375.722035125405</x:v>
      </x:c>
      <x:c r="O141" s="196" t="n">
        <x:f>F141-H141-I141</x:f>
        <x:v>0</x:v>
      </x:c>
    </x:row>
    <x:row r="142">
      <x:c r="A142" s="20" t="n">
        <x:v>12</x:v>
      </x:c>
      <x:c r="B142" s="20" t="n">
        <x:v>6</x:v>
      </x:c>
      <x:c r="C142" s="563" t="n">
        <x:f>'_計算月次'!$J$10</x:f>
        <x:v>448.7994857612148</x:v>
      </x:c>
      <x:c r="D142" s="563" t="n">
        <x:f>'_計算月次'!$K$10</x:f>
        <x:v>360</x:v>
      </x:c>
      <x:c r="E142" s="585" t="n">
        <x:f>(1-MAX(MIN('詳細設定'!$D$16,0.999999),0))^(A142-1)</x:f>
        <x:v>1</x:v>
      </x:c>
      <x:c r="F142" s="563" t="n">
        <x:f>MAX(C142*E142,0)</x:f>
        <x:v>448.7994857612148</x:v>
      </x:c>
      <x:c r="G142" s="563" t="n">
        <x:f>MAX(MIN('詳細設定'!$D$15,1),0)</x:f>
        <x:v>0.4</x:v>
      </x:c>
      <x:c r="H142" s="563" t="n">
        <x:f>MAX(MIN(F142*G142,D142),0)</x:f>
        <x:v>179.5197943044859</x:v>
      </x:c>
      <x:c r="I142" s="563" t="n">
        <x:f>MAX(F142-H142,0)</x:f>
        <x:v>269.27969145672887</x:v>
      </x:c>
      <x:c r="J142" s="185" t="n">
        <x:f>MAX('詳細設定'!$D$6,0)*(1+'詳細設定'!$D$21)^(A142-1)</x:f>
        <x:v>39.04839213328608</x:v>
      </x:c>
      <x:c r="K142" s="185" t="n">
        <x:f>IF(A142&lt;=MAX(MIN('詳細設定'!$D$8,20),0),MAX('詳細設定'!$D$7,0),IF(A142&lt;=MAX(MIN('詳細設定'!$D$10,20),0),MAX('詳細設定'!$D$9,0),MAX('詳細設定'!$D$11,0)))</x:f>
        <x:v>8.3</x:v>
      </x:c>
      <x:c r="L142" s="190" t="n">
        <x:f>H142*J142</x:f>
        <x:v>7009.959323688423</x:v>
      </x:c>
      <x:c r="M142" s="190" t="n">
        <x:f>I142*K142</x:f>
        <x:v>2235.02143909085</x:v>
      </x:c>
      <x:c r="N142" s="190" t="n">
        <x:f>L142+M142</x:f>
        <x:v>9244.980762779272</x:v>
      </x:c>
      <x:c r="O142" s="196" t="n">
        <x:f>F142-H142-I142</x:f>
        <x:v>0</x:v>
      </x:c>
    </x:row>
    <x:row r="143">
      <x:c r="A143" s="20" t="n">
        <x:v>12</x:v>
      </x:c>
      <x:c r="B143" s="20" t="n">
        <x:v>7</x:v>
      </x:c>
      <x:c r="C143" s="563" t="n">
        <x:f>'_計算月次'!$J$11</x:f>
        <x:v>476.0181638067866</x:v>
      </x:c>
      <x:c r="D143" s="563" t="n">
        <x:f>'_計算月次'!$K$11</x:f>
        <x:v>405</x:v>
      </x:c>
      <x:c r="E143" s="585" t="n">
        <x:f>(1-MAX(MIN('詳細設定'!$D$16,0.999999),0))^(A143-1)</x:f>
        <x:v>1</x:v>
      </x:c>
      <x:c r="F143" s="563" t="n">
        <x:f>MAX(C143*E143,0)</x:f>
        <x:v>476.0181638067866</x:v>
      </x:c>
      <x:c r="G143" s="563" t="n">
        <x:f>MAX(MIN('詳細設定'!$D$15,1),0)</x:f>
        <x:v>0.4</x:v>
      </x:c>
      <x:c r="H143" s="563" t="n">
        <x:f>MAX(MIN(F143*G143,D143),0)</x:f>
        <x:v>190.40726552271465</x:v>
      </x:c>
      <x:c r="I143" s="563" t="n">
        <x:f>MAX(F143-H143,0)</x:f>
        <x:v>285.61089828407194</x:v>
      </x:c>
      <x:c r="J143" s="185" t="n">
        <x:f>MAX('詳細設定'!$D$6,0)*(1+'詳細設定'!$D$21)^(A143-1)</x:f>
        <x:v>39.04839213328608</x:v>
      </x:c>
      <x:c r="K143" s="185" t="n">
        <x:f>IF(A143&lt;=MAX(MIN('詳細設定'!$D$8,20),0),MAX('詳細設定'!$D$7,0),IF(A143&lt;=MAX(MIN('詳細設定'!$D$10,20),0),MAX('詳細設定'!$D$9,0),MAX('詳細設定'!$D$11,0)))</x:f>
        <x:v>8.3</x:v>
      </x:c>
      <x:c r="L143" s="190" t="n">
        <x:f>H143*J143</x:f>
        <x:v>7435.097569157684</x:v>
      </x:c>
      <x:c r="M143" s="190" t="n">
        <x:f>I143*K143</x:f>
        <x:v>2370.5704557577974</x:v>
      </x:c>
      <x:c r="N143" s="190" t="n">
        <x:f>L143+M143</x:f>
        <x:v>9805.668024915482</x:v>
      </x:c>
      <x:c r="O143" s="196" t="n">
        <x:f>F143-H143-I143</x:f>
        <x:v>0</x:v>
      </x:c>
    </x:row>
    <x:row r="144">
      <x:c r="A144" s="20" t="n">
        <x:v>12</x:v>
      </x:c>
      <x:c r="B144" s="20" t="n">
        <x:v>8</x:v>
      </x:c>
      <x:c r="C144" s="563" t="n">
        <x:f>'_計算月次'!$J$12</x:f>
        <x:v>528.6548067323699</x:v>
      </x:c>
      <x:c r="D144" s="563" t="n">
        <x:f>'_計算月次'!$K$12</x:f>
        <x:v>450</x:v>
      </x:c>
      <x:c r="E144" s="585" t="n">
        <x:f>(1-MAX(MIN('詳細設定'!$D$16,0.999999),0))^(A144-1)</x:f>
        <x:v>1</x:v>
      </x:c>
      <x:c r="F144" s="563" t="n">
        <x:f>MAX(C144*E144,0)</x:f>
        <x:v>528.6548067323699</x:v>
      </x:c>
      <x:c r="G144" s="563" t="n">
        <x:f>MAX(MIN('詳細設定'!$D$15,1),0)</x:f>
        <x:v>0.4</x:v>
      </x:c>
      <x:c r="H144" s="563" t="n">
        <x:f>MAX(MIN(F144*G144,D144),0)</x:f>
        <x:v>211.46192269294798</x:v>
      </x:c>
      <x:c r="I144" s="563" t="n">
        <x:f>MAX(F144-H144,0)</x:f>
        <x:v>317.192884039422</x:v>
      </x:c>
      <x:c r="J144" s="185" t="n">
        <x:f>MAX('詳細設定'!$D$6,0)*(1+'詳細設定'!$D$21)^(A144-1)</x:f>
        <x:v>39.04839213328608</x:v>
      </x:c>
      <x:c r="K144" s="185" t="n">
        <x:f>IF(A144&lt;=MAX(MIN('詳細設定'!$D$8,20),0),MAX('詳細設定'!$D$7,0),IF(A144&lt;=MAX(MIN('詳細設定'!$D$10,20),0),MAX('詳細設定'!$D$9,0),MAX('詳細設定'!$D$11,0)))</x:f>
        <x:v>8.3</x:v>
      </x:c>
      <x:c r="L144" s="190" t="n">
        <x:f>H144*J144</x:f>
        <x:v>8257.248078572859</x:v>
      </x:c>
      <x:c r="M144" s="190" t="n">
        <x:f>I144*K144</x:f>
        <x:v>2632.7009375272028</x:v>
      </x:c>
      <x:c r="N144" s="190" t="n">
        <x:f>L144+M144</x:f>
        <x:v>10889.949016100061</x:v>
      </x:c>
      <x:c r="O144" s="196" t="n">
        <x:f>F144-H144-I144</x:f>
        <x:v>0</x:v>
      </x:c>
    </x:row>
    <x:row r="145">
      <x:c r="A145" s="20" t="n">
        <x:v>12</x:v>
      </x:c>
      <x:c r="B145" s="20" t="n">
        <x:v>9</x:v>
      </x:c>
      <x:c r="C145" s="563" t="n">
        <x:f>'_計算月次'!$J$13</x:f>
        <x:v>436.37734765103465</x:v>
      </x:c>
      <x:c r="D145" s="563" t="n">
        <x:f>'_計算月次'!$K$13</x:f>
        <x:v>360</x:v>
      </x:c>
      <x:c r="E145" s="585" t="n">
        <x:f>(1-MAX(MIN('詳細設定'!$D$16,0.999999),0))^(A145-1)</x:f>
        <x:v>1</x:v>
      </x:c>
      <x:c r="F145" s="563" t="n">
        <x:f>MAX(C145*E145,0)</x:f>
        <x:v>436.37734765103465</x:v>
      </x:c>
      <x:c r="G145" s="563" t="n">
        <x:f>MAX(MIN('詳細設定'!$D$15,1),0)</x:f>
        <x:v>0.4</x:v>
      </x:c>
      <x:c r="H145" s="563" t="n">
        <x:f>MAX(MIN(F145*G145,D145),0)</x:f>
        <x:v>174.55093906041387</x:v>
      </x:c>
      <x:c r="I145" s="563" t="n">
        <x:f>MAX(F145-H145,0)</x:f>
        <x:v>261.82640859062076</x:v>
      </x:c>
      <x:c r="J145" s="185" t="n">
        <x:f>MAX('詳細設定'!$D$6,0)*(1+'詳細設定'!$D$21)^(A145-1)</x:f>
        <x:v>39.04839213328608</x:v>
      </x:c>
      <x:c r="K145" s="185" t="n">
        <x:f>IF(A145&lt;=MAX(MIN('詳細設定'!$D$8,20),0),MAX('詳細設定'!$D$7,0),IF(A145&lt;=MAX(MIN('詳細設定'!$D$10,20),0),MAX('詳細設定'!$D$9,0),MAX('詳細設定'!$D$11,0)))</x:f>
        <x:v>8.3</x:v>
      </x:c>
      <x:c r="L145" s="190" t="n">
        <x:f>H145*J145</x:f>
        <x:v>6815.933515664363</x:v>
      </x:c>
      <x:c r="M145" s="190" t="n">
        <x:f>I145*K145</x:f>
        <x:v>2173.1591913021525</x:v>
      </x:c>
      <x:c r="N145" s="190" t="n">
        <x:f>L145+M145</x:f>
        <x:v>8989.092706966516</x:v>
      </x:c>
      <x:c r="O145" s="196" t="n">
        <x:f>F145-H145-I145</x:f>
        <x:v>0</x:v>
      </x:c>
    </x:row>
    <x:row r="146">
      <x:c r="A146" s="20" t="n">
        <x:v>12</x:v>
      </x:c>
      <x:c r="B146" s="20" t="n">
        <x:v>10</x:v>
      </x:c>
      <x:c r="C146" s="563" t="n">
        <x:f>'_計算月次'!$J$14</x:f>
        <x:v>408.8269849869007</x:v>
      </x:c>
      <x:c r="D146" s="563" t="n">
        <x:f>'_計算月次'!$K$14</x:f>
        <x:v>315.00000000000006</x:v>
      </x:c>
      <x:c r="E146" s="585" t="n">
        <x:f>(1-MAX(MIN('詳細設定'!$D$16,0.999999),0))^(A146-1)</x:f>
        <x:v>1</x:v>
      </x:c>
      <x:c r="F146" s="563" t="n">
        <x:f>MAX(C146*E146,0)</x:f>
        <x:v>408.8269849869007</x:v>
      </x:c>
      <x:c r="G146" s="563" t="n">
        <x:f>MAX(MIN('詳細設定'!$D$15,1),0)</x:f>
        <x:v>0.4</x:v>
      </x:c>
      <x:c r="H146" s="563" t="n">
        <x:f>MAX(MIN(F146*G146,D146),0)</x:f>
        <x:v>163.5307939947603</x:v>
      </x:c>
      <x:c r="I146" s="563" t="n">
        <x:f>MAX(F146-H146,0)</x:f>
        <x:v>245.2961909921404</x:v>
      </x:c>
      <x:c r="J146" s="185" t="n">
        <x:f>MAX('詳細設定'!$D$6,0)*(1+'詳細設定'!$D$21)^(A146-1)</x:f>
        <x:v>39.04839213328608</x:v>
      </x:c>
      <x:c r="K146" s="185" t="n">
        <x:f>IF(A146&lt;=MAX(MIN('詳細設定'!$D$8,20),0),MAX('詳細設定'!$D$7,0),IF(A146&lt;=MAX(MIN('詳細設定'!$D$10,20),0),MAX('詳細設定'!$D$9,0),MAX('詳細設定'!$D$11,0)))</x:f>
        <x:v>8.3</x:v>
      </x:c>
      <x:c r="L146" s="190" t="n">
        <x:f>H146*J146</x:f>
        <x:v>6385.614569775024</x:v>
      </x:c>
      <x:c r="M146" s="190" t="n">
        <x:f>I146*K146</x:f>
        <x:v>2035.9583852347655</x:v>
      </x:c>
      <x:c r="N146" s="190" t="n">
        <x:f>L146+M146</x:f>
        <x:v>8421.57295500979</x:v>
      </x:c>
      <x:c r="O146" s="196" t="n">
        <x:f>F146-H146-I146</x:f>
        <x:v>0</x:v>
      </x:c>
    </x:row>
    <x:row r="147">
      <x:c r="A147" s="20" t="n">
        <x:v>12</x:v>
      </x:c>
      <x:c r="B147" s="20" t="n">
        <x:v>11</x:v>
      </x:c>
      <x:c r="C147" s="563" t="n">
        <x:f>'_計算月次'!$J$15</x:f>
        <x:v>398.45169764745054</x:v>
      </x:c>
      <x:c r="D147" s="563" t="n">
        <x:f>'_計算月次'!$K$15</x:f>
        <x:v>360</x:v>
      </x:c>
      <x:c r="E147" s="585" t="n">
        <x:f>(1-MAX(MIN('詳細設定'!$D$16,0.999999),0))^(A147-1)</x:f>
        <x:v>1</x:v>
      </x:c>
      <x:c r="F147" s="563" t="n">
        <x:f>MAX(C147*E147,0)</x:f>
        <x:v>398.45169764745054</x:v>
      </x:c>
      <x:c r="G147" s="563" t="n">
        <x:f>MAX(MIN('詳細設定'!$D$15,1),0)</x:f>
        <x:v>0.4</x:v>
      </x:c>
      <x:c r="H147" s="563" t="n">
        <x:f>MAX(MIN(F147*G147,D147),0)</x:f>
        <x:v>159.38067905898023</x:v>
      </x:c>
      <x:c r="I147" s="563" t="n">
        <x:f>MAX(F147-H147,0)</x:f>
        <x:v>239.0710185884703</x:v>
      </x:c>
      <x:c r="J147" s="185" t="n">
        <x:f>MAX('詳細設定'!$D$6,0)*(1+'詳細設定'!$D$21)^(A147-1)</x:f>
        <x:v>39.04839213328608</x:v>
      </x:c>
      <x:c r="K147" s="185" t="n">
        <x:f>IF(A147&lt;=MAX(MIN('詳細設定'!$D$8,20),0),MAX('詳細設定'!$D$7,0),IF(A147&lt;=MAX(MIN('詳細設定'!$D$10,20),0),MAX('詳細設定'!$D$9,0),MAX('詳細設定'!$D$11,0)))</x:f>
        <x:v>8.3</x:v>
      </x:c>
      <x:c r="L147" s="190" t="n">
        <x:f>H147*J147</x:f>
        <x:v>6223.559254364477</x:v>
      </x:c>
      <x:c r="M147" s="190" t="n">
        <x:f>I147*K147</x:f>
        <x:v>1984.2894542843037</x:v>
      </x:c>
      <x:c r="N147" s="190" t="n">
        <x:f>L147+M147</x:f>
        <x:v>8207.84870864878</x:v>
      </x:c>
      <x:c r="O147" s="196" t="n">
        <x:f>F147-H147-I147</x:f>
        <x:v>0</x:v>
      </x:c>
    </x:row>
    <x:row r="148">
      <x:c r="A148" s="20" t="n">
        <x:v>12</x:v>
      </x:c>
      <x:c r="B148" s="20" t="n">
        <x:v>12</x:v>
      </x:c>
      <x:c r="C148" s="563" t="n">
        <x:f>'_計算月次'!$J$16</x:f>
        <x:v>443.97248688000184</x:v>
      </x:c>
      <x:c r="D148" s="563" t="n">
        <x:f>'_計算月次'!$K$16</x:f>
        <x:v>405</x:v>
      </x:c>
      <x:c r="E148" s="585" t="n">
        <x:f>(1-MAX(MIN('詳細設定'!$D$16,0.999999),0))^(A148-1)</x:f>
        <x:v>1</x:v>
      </x:c>
      <x:c r="F148" s="563" t="n">
        <x:f>MAX(C148*E148,0)</x:f>
        <x:v>443.97248688000184</x:v>
      </x:c>
      <x:c r="G148" s="563" t="n">
        <x:f>MAX(MIN('詳細設定'!$D$15,1),0)</x:f>
        <x:v>0.4</x:v>
      </x:c>
      <x:c r="H148" s="563" t="n">
        <x:f>MAX(MIN(F148*G148,D148),0)</x:f>
        <x:v>177.58899475200076</x:v>
      </x:c>
      <x:c r="I148" s="563" t="n">
        <x:f>MAX(F148-H148,0)</x:f>
        <x:v>266.3834921280011</x:v>
      </x:c>
      <x:c r="J148" s="185" t="n">
        <x:f>MAX('詳細設定'!$D$6,0)*(1+'詳細設定'!$D$21)^(A148-1)</x:f>
        <x:v>39.04839213328608</x:v>
      </x:c>
      <x:c r="K148" s="185" t="n">
        <x:f>IF(A148&lt;=MAX(MIN('詳細設定'!$D$8,20),0),MAX('詳細設定'!$D$7,0),IF(A148&lt;=MAX(MIN('詳細設定'!$D$10,20),0),MAX('詳細設定'!$D$9,0),MAX('詳細設定'!$D$11,0)))</x:f>
        <x:v>8.3</x:v>
      </x:c>
      <x:c r="L148" s="190" t="n">
        <x:f>H148*J148</x:f>
        <x:v>6934.56470563221</x:v>
      </x:c>
      <x:c r="M148" s="190" t="n">
        <x:f>I148*K148</x:f>
        <x:v>2210.9829846624093</x:v>
      </x:c>
      <x:c r="N148" s="190" t="n">
        <x:f>L148+M148</x:f>
        <x:v>9145.54769029462</x:v>
      </x:c>
      <x:c r="O148" s="196" t="n">
        <x:f>F148-H148-I148</x:f>
        <x:v>0</x:v>
      </x:c>
    </x:row>
    <x:row r="149">
      <x:c r="A149" s="20" t="n">
        <x:v>13</x:v>
      </x:c>
      <x:c r="B149" s="20" t="n">
        <x:v>1</x:v>
      </x:c>
      <x:c r="C149" s="563" t="n">
        <x:f>'_計算月次'!$J$5</x:f>
        <x:v>502.4147595742038</x:v>
      </x:c>
      <x:c r="D149" s="563" t="n">
        <x:f>'_計算月次'!$K$5</x:f>
        <x:v>450</x:v>
      </x:c>
      <x:c r="E149" s="585" t="n">
        <x:f>(1-MAX(MIN('詳細設定'!$D$16,0.999999),0))^(A149-1)</x:f>
        <x:v>1</x:v>
      </x:c>
      <x:c r="F149" s="563" t="n">
        <x:f>MAX(C149*E149,0)</x:f>
        <x:v>502.4147595742038</x:v>
      </x:c>
      <x:c r="G149" s="563" t="n">
        <x:f>MAX(MIN('詳細設定'!$D$15,1),0)</x:f>
        <x:v>0.4</x:v>
      </x:c>
      <x:c r="H149" s="563" t="n">
        <x:f>MAX(MIN(F149*G149,D149),0)</x:f>
        <x:v>200.96590382968154</x:v>
      </x:c>
      <x:c r="I149" s="563" t="n">
        <x:f>MAX(F149-H149,0)</x:f>
        <x:v>301.44885574452223</x:v>
      </x:c>
      <x:c r="J149" s="185" t="n">
        <x:f>MAX('詳細設定'!$D$6,0)*(1+'詳細設定'!$D$21)^(A149-1)</x:f>
        <x:v>39.438876054618945</x:v>
      </x:c>
      <x:c r="K149" s="185" t="n">
        <x:f>IF(A149&lt;=MAX(MIN('詳細設定'!$D$8,20),0),MAX('詳細設定'!$D$7,0),IF(A149&lt;=MAX(MIN('詳細設定'!$D$10,20),0),MAX('詳細設定'!$D$9,0),MAX('詳細設定'!$D$11,0)))</x:f>
        <x:v>8.3</x:v>
      </x:c>
      <x:c r="L149" s="190" t="n">
        <x:f>H149*J149</x:f>
        <x:v>7925.869372343281</x:v>
      </x:c>
      <x:c r="M149" s="190" t="n">
        <x:f>I149*K149</x:f>
        <x:v>2502.025502679535</x:v>
      </x:c>
      <x:c r="N149" s="190" t="n">
        <x:f>L149+M149</x:f>
        <x:v>10427.894875022816</x:v>
      </x:c>
      <x:c r="O149" s="196" t="n">
        <x:f>F149-H149-I149</x:f>
        <x:v>0</x:v>
      </x:c>
    </x:row>
    <x:row r="150">
      <x:c r="A150" s="20" t="n">
        <x:v>13</x:v>
      </x:c>
      <x:c r="B150" s="20" t="n">
        <x:v>2</x:v>
      </x:c>
      <x:c r="C150" s="563" t="n">
        <x:f>'_計算月次'!$J$6</x:f>
        <x:v>472.4508339500229</x:v>
      </x:c>
      <x:c r="D150" s="563" t="n">
        <x:f>'_計算月次'!$K$6</x:f>
        <x:v>405</x:v>
      </x:c>
      <x:c r="E150" s="585" t="n">
        <x:f>(1-MAX(MIN('詳細設定'!$D$16,0.999999),0))^(A150-1)</x:f>
        <x:v>1</x:v>
      </x:c>
      <x:c r="F150" s="563" t="n">
        <x:f>MAX(C150*E150,0)</x:f>
        <x:v>472.4508339500229</x:v>
      </x:c>
      <x:c r="G150" s="563" t="n">
        <x:f>MAX(MIN('詳細設定'!$D$15,1),0)</x:f>
        <x:v>0.4</x:v>
      </x:c>
      <x:c r="H150" s="563" t="n">
        <x:f>MAX(MIN(F150*G150,D150),0)</x:f>
        <x:v>188.9803335800092</x:v>
      </x:c>
      <x:c r="I150" s="563" t="n">
        <x:f>MAX(F150-H150,0)</x:f>
        <x:v>283.4705003700137</x:v>
      </x:c>
      <x:c r="J150" s="185" t="n">
        <x:f>MAX('詳細設定'!$D$6,0)*(1+'詳細設定'!$D$21)^(A150-1)</x:f>
        <x:v>39.438876054618945</x:v>
      </x:c>
      <x:c r="K150" s="185" t="n">
        <x:f>IF(A150&lt;=MAX(MIN('詳細設定'!$D$8,20),0),MAX('詳細設定'!$D$7,0),IF(A150&lt;=MAX(MIN('詳細設定'!$D$10,20),0),MAX('詳細設定'!$D$9,0),MAX('詳細設定'!$D$11,0)))</x:f>
        <x:v>8.3</x:v>
      </x:c>
      <x:c r="L150" s="190" t="n">
        <x:f>H150*J150</x:f>
        <x:v>7453.171952822525</x:v>
      </x:c>
      <x:c r="M150" s="190" t="n">
        <x:f>I150*K150</x:f>
        <x:v>2352.805153071114</x:v>
      </x:c>
      <x:c r="N150" s="190" t="n">
        <x:f>L150+M150</x:f>
        <x:v>9805.977105893639</x:v>
      </x:c>
      <x:c r="O150" s="196" t="n">
        <x:f>F150-H150-I150</x:f>
        <x:v>0</x:v>
      </x:c>
    </x:row>
    <x:row r="151">
      <x:c r="A151" s="20" t="n">
        <x:v>13</x:v>
      </x:c>
      <x:c r="B151" s="20" t="n">
        <x:v>3</x:v>
      </x:c>
      <x:c r="C151" s="563" t="n">
        <x:f>'_計算月次'!$J$7</x:f>
        <x:v>548.3418864753118</x:v>
      </x:c>
      <x:c r="D151" s="563" t="n">
        <x:f>'_計算月次'!$K$7</x:f>
        <x:v>360</x:v>
      </x:c>
      <x:c r="E151" s="585" t="n">
        <x:f>(1-MAX(MIN('詳細設定'!$D$16,0.999999),0))^(A151-1)</x:f>
        <x:v>1</x:v>
      </x:c>
      <x:c r="F151" s="563" t="n">
        <x:f>MAX(C151*E151,0)</x:f>
        <x:v>548.3418864753118</x:v>
      </x:c>
      <x:c r="G151" s="563" t="n">
        <x:f>MAX(MIN('詳細設定'!$D$15,1),0)</x:f>
        <x:v>0.4</x:v>
      </x:c>
      <x:c r="H151" s="563" t="n">
        <x:f>MAX(MIN(F151*G151,D151),0)</x:f>
        <x:v>219.3367545901247</x:v>
      </x:c>
      <x:c r="I151" s="563" t="n">
        <x:f>MAX(F151-H151,0)</x:f>
        <x:v>329.00513188518704</x:v>
      </x:c>
      <x:c r="J151" s="185" t="n">
        <x:f>MAX('詳細設定'!$D$6,0)*(1+'詳細設定'!$D$21)^(A151-1)</x:f>
        <x:v>39.438876054618945</x:v>
      </x:c>
      <x:c r="K151" s="185" t="n">
        <x:f>IF(A151&lt;=MAX(MIN('詳細設定'!$D$8,20),0),MAX('詳細設定'!$D$7,0),IF(A151&lt;=MAX(MIN('詳細設定'!$D$10,20),0),MAX('詳細設定'!$D$9,0),MAX('詳細設定'!$D$11,0)))</x:f>
        <x:v>8.3</x:v>
      </x:c>
      <x:c r="L151" s="190" t="n">
        <x:f>H151*J151</x:f>
        <x:v>8650.3950785023</x:v>
      </x:c>
      <x:c r="M151" s="190" t="n">
        <x:f>I151*K151</x:f>
        <x:v>2730.7425946470526</x:v>
      </x:c>
      <x:c r="N151" s="190" t="n">
        <x:f>L151+M151</x:f>
        <x:v>11381.137673149353</x:v>
      </x:c>
      <x:c r="O151" s="196" t="n">
        <x:f>F151-H151-I151</x:f>
        <x:v>0</x:v>
      </x:c>
    </x:row>
    <x:row r="152">
      <x:c r="A152" s="20" t="n">
        <x:v>13</x:v>
      </x:c>
      <x:c r="B152" s="20" t="n">
        <x:v>4</x:v>
      </x:c>
      <x:c r="C152" s="563" t="n">
        <x:f>'_計算月次'!$J$8</x:f>
        <x:v>548.3944393749554</x:v>
      </x:c>
      <x:c r="D152" s="563" t="n">
        <x:f>'_計算月次'!$K$8</x:f>
        <x:v>315.00000000000006</x:v>
      </x:c>
      <x:c r="E152" s="585" t="n">
        <x:f>(1-MAX(MIN('詳細設定'!$D$16,0.999999),0))^(A152-1)</x:f>
        <x:v>1</x:v>
      </x:c>
      <x:c r="F152" s="563" t="n">
        <x:f>MAX(C152*E152,0)</x:f>
        <x:v>548.3944393749554</x:v>
      </x:c>
      <x:c r="G152" s="563" t="n">
        <x:f>MAX(MIN('詳細設定'!$D$15,1),0)</x:f>
        <x:v>0.4</x:v>
      </x:c>
      <x:c r="H152" s="563" t="n">
        <x:f>MAX(MIN(F152*G152,D152),0)</x:f>
        <x:v>219.35777574998215</x:v>
      </x:c>
      <x:c r="I152" s="563" t="n">
        <x:f>MAX(F152-H152,0)</x:f>
        <x:v>329.03666362497324</x:v>
      </x:c>
      <x:c r="J152" s="185" t="n">
        <x:f>MAX('詳細設定'!$D$6,0)*(1+'詳細設定'!$D$21)^(A152-1)</x:f>
        <x:v>39.438876054618945</x:v>
      </x:c>
      <x:c r="K152" s="185" t="n">
        <x:f>IF(A152&lt;=MAX(MIN('詳細設定'!$D$8,20),0),MAX('詳細設定'!$D$7,0),IF(A152&lt;=MAX(MIN('詳細設定'!$D$10,20),0),MAX('詳細設定'!$D$9,0),MAX('詳細設定'!$D$11,0)))</x:f>
        <x:v>8.3</x:v>
      </x:c>
      <x:c r="L152" s="190" t="n">
        <x:f>H152*J152</x:f>
        <x:v>8651.224129420443</x:v>
      </x:c>
      <x:c r="M152" s="190" t="n">
        <x:f>I152*K152</x:f>
        <x:v>2731.0043080872783</x:v>
      </x:c>
      <x:c r="N152" s="190" t="n">
        <x:f>L152+M152</x:f>
        <x:v>11382.228437507722</x:v>
      </x:c>
      <x:c r="O152" s="196" t="n">
        <x:f>F152-H152-I152</x:f>
        <x:v>0</x:v>
      </x:c>
    </x:row>
    <x:row r="153">
      <x:c r="A153" s="20" t="n">
        <x:v>13</x:v>
      </x:c>
      <x:c r="B153" s="20" t="n">
        <x:v>5</x:v>
      </x:c>
      <x:c r="C153" s="563" t="n">
        <x:f>'_計算月次'!$J$9</x:f>
        <x:v>552.2367574934775</x:v>
      </x:c>
      <x:c r="D153" s="563" t="n">
        <x:f>'_計算月次'!$K$9</x:f>
        <x:v>315.00000000000006</x:v>
      </x:c>
      <x:c r="E153" s="585" t="n">
        <x:f>(1-MAX(MIN('詳細設定'!$D$16,0.999999),0))^(A153-1)</x:f>
        <x:v>1</x:v>
      </x:c>
      <x:c r="F153" s="563" t="n">
        <x:f>MAX(C153*E153,0)</x:f>
        <x:v>552.2367574934775</x:v>
      </x:c>
      <x:c r="G153" s="563" t="n">
        <x:f>MAX(MIN('詳細設定'!$D$15,1),0)</x:f>
        <x:v>0.4</x:v>
      </x:c>
      <x:c r="H153" s="563" t="n">
        <x:f>MAX(MIN(F153*G153,D153),0)</x:f>
        <x:v>220.89470299739102</x:v>
      </x:c>
      <x:c r="I153" s="563" t="n">
        <x:f>MAX(F153-H153,0)</x:f>
        <x:v>331.34205449608646</x:v>
      </x:c>
      <x:c r="J153" s="185" t="n">
        <x:f>MAX('詳細設定'!$D$6,0)*(1+'詳細設定'!$D$21)^(A153-1)</x:f>
        <x:v>39.438876054618945</x:v>
      </x:c>
      <x:c r="K153" s="185" t="n">
        <x:f>IF(A153&lt;=MAX(MIN('詳細設定'!$D$8,20),0),MAX('詳細設定'!$D$7,0),IF(A153&lt;=MAX(MIN('詳細設定'!$D$10,20),0),MAX('詳細設定'!$D$9,0),MAX('詳細設定'!$D$11,0)))</x:f>
        <x:v>8.3</x:v>
      </x:c>
      <x:c r="L153" s="190" t="n">
        <x:f>H153*J153</x:f>
        <x:v>8711.838812635968</x:v>
      </x:c>
      <x:c r="M153" s="190" t="n">
        <x:f>I153*K153</x:f>
        <x:v>2750.139052317518</x:v>
      </x:c>
      <x:c r="N153" s="190" t="n">
        <x:f>L153+M153</x:f>
        <x:v>11461.977864953486</x:v>
      </x:c>
      <x:c r="O153" s="196" t="n">
        <x:f>F153-H153-I153</x:f>
        <x:v>0</x:v>
      </x:c>
    </x:row>
    <x:row r="154">
      <x:c r="A154" s="20" t="n">
        <x:v>13</x:v>
      </x:c>
      <x:c r="B154" s="20" t="n">
        <x:v>6</x:v>
      </x:c>
      <x:c r="C154" s="563" t="n">
        <x:f>'_計算月次'!$J$10</x:f>
        <x:v>448.7994857612148</x:v>
      </x:c>
      <x:c r="D154" s="563" t="n">
        <x:f>'_計算月次'!$K$10</x:f>
        <x:v>360</x:v>
      </x:c>
      <x:c r="E154" s="585" t="n">
        <x:f>(1-MAX(MIN('詳細設定'!$D$16,0.999999),0))^(A154-1)</x:f>
        <x:v>1</x:v>
      </x:c>
      <x:c r="F154" s="563" t="n">
        <x:f>MAX(C154*E154,0)</x:f>
        <x:v>448.7994857612148</x:v>
      </x:c>
      <x:c r="G154" s="563" t="n">
        <x:f>MAX(MIN('詳細設定'!$D$15,1),0)</x:f>
        <x:v>0.4</x:v>
      </x:c>
      <x:c r="H154" s="563" t="n">
        <x:f>MAX(MIN(F154*G154,D154),0)</x:f>
        <x:v>179.5197943044859</x:v>
      </x:c>
      <x:c r="I154" s="563" t="n">
        <x:f>MAX(F154-H154,0)</x:f>
        <x:v>269.27969145672887</x:v>
      </x:c>
      <x:c r="J154" s="185" t="n">
        <x:f>MAX('詳細設定'!$D$6,0)*(1+'詳細設定'!$D$21)^(A154-1)</x:f>
        <x:v>39.438876054618945</x:v>
      </x:c>
      <x:c r="K154" s="185" t="n">
        <x:f>IF(A154&lt;=MAX(MIN('詳細設定'!$D$8,20),0),MAX('詳細設定'!$D$7,0),IF(A154&lt;=MAX(MIN('詳細設定'!$D$10,20),0),MAX('詳細設定'!$D$9,0),MAX('詳細設定'!$D$11,0)))</x:f>
        <x:v>8.3</x:v>
      </x:c>
      <x:c r="L154" s="190" t="n">
        <x:f>H154*J154</x:f>
        <x:v>7080.058916925308</x:v>
      </x:c>
      <x:c r="M154" s="190" t="n">
        <x:f>I154*K154</x:f>
        <x:v>2235.02143909085</x:v>
      </x:c>
      <x:c r="N154" s="190" t="n">
        <x:f>L154+M154</x:f>
        <x:v>9315.080356016158</x:v>
      </x:c>
      <x:c r="O154" s="196" t="n">
        <x:f>F154-H154-I154</x:f>
        <x:v>0</x:v>
      </x:c>
    </x:row>
    <x:row r="155">
      <x:c r="A155" s="20" t="n">
        <x:v>13</x:v>
      </x:c>
      <x:c r="B155" s="20" t="n">
        <x:v>7</x:v>
      </x:c>
      <x:c r="C155" s="563" t="n">
        <x:f>'_計算月次'!$J$11</x:f>
        <x:v>476.0181638067866</x:v>
      </x:c>
      <x:c r="D155" s="563" t="n">
        <x:f>'_計算月次'!$K$11</x:f>
        <x:v>405</x:v>
      </x:c>
      <x:c r="E155" s="585" t="n">
        <x:f>(1-MAX(MIN('詳細設定'!$D$16,0.999999),0))^(A155-1)</x:f>
        <x:v>1</x:v>
      </x:c>
      <x:c r="F155" s="563" t="n">
        <x:f>MAX(C155*E155,0)</x:f>
        <x:v>476.0181638067866</x:v>
      </x:c>
      <x:c r="G155" s="563" t="n">
        <x:f>MAX(MIN('詳細設定'!$D$15,1),0)</x:f>
        <x:v>0.4</x:v>
      </x:c>
      <x:c r="H155" s="563" t="n">
        <x:f>MAX(MIN(F155*G155,D155),0)</x:f>
        <x:v>190.40726552271465</x:v>
      </x:c>
      <x:c r="I155" s="563" t="n">
        <x:f>MAX(F155-H155,0)</x:f>
        <x:v>285.61089828407194</x:v>
      </x:c>
      <x:c r="J155" s="185" t="n">
        <x:f>MAX('詳細設定'!$D$6,0)*(1+'詳細設定'!$D$21)^(A155-1)</x:f>
        <x:v>39.438876054618945</x:v>
      </x:c>
      <x:c r="K155" s="185" t="n">
        <x:f>IF(A155&lt;=MAX(MIN('詳細設定'!$D$8,20),0),MAX('詳細設定'!$D$7,0),IF(A155&lt;=MAX(MIN('詳細設定'!$D$10,20),0),MAX('詳細設定'!$D$9,0),MAX('詳細設定'!$D$11,0)))</x:f>
        <x:v>8.3</x:v>
      </x:c>
      <x:c r="L155" s="190" t="n">
        <x:f>H155*J155</x:f>
        <x:v>7509.448544849262</x:v>
      </x:c>
      <x:c r="M155" s="190" t="n">
        <x:f>I155*K155</x:f>
        <x:v>2370.5704557577974</x:v>
      </x:c>
      <x:c r="N155" s="190" t="n">
        <x:f>L155+M155</x:f>
        <x:v>9880.019000607059</x:v>
      </x:c>
      <x:c r="O155" s="196" t="n">
        <x:f>F155-H155-I155</x:f>
        <x:v>0</x:v>
      </x:c>
    </x:row>
    <x:row r="156">
      <x:c r="A156" s="20" t="n">
        <x:v>13</x:v>
      </x:c>
      <x:c r="B156" s="20" t="n">
        <x:v>8</x:v>
      </x:c>
      <x:c r="C156" s="563" t="n">
        <x:f>'_計算月次'!$J$12</x:f>
        <x:v>528.6548067323699</x:v>
      </x:c>
      <x:c r="D156" s="563" t="n">
        <x:f>'_計算月次'!$K$12</x:f>
        <x:v>450</x:v>
      </x:c>
      <x:c r="E156" s="585" t="n">
        <x:f>(1-MAX(MIN('詳細設定'!$D$16,0.999999),0))^(A156-1)</x:f>
        <x:v>1</x:v>
      </x:c>
      <x:c r="F156" s="563" t="n">
        <x:f>MAX(C156*E156,0)</x:f>
        <x:v>528.6548067323699</x:v>
      </x:c>
      <x:c r="G156" s="563" t="n">
        <x:f>MAX(MIN('詳細設定'!$D$15,1),0)</x:f>
        <x:v>0.4</x:v>
      </x:c>
      <x:c r="H156" s="563" t="n">
        <x:f>MAX(MIN(F156*G156,D156),0)</x:f>
        <x:v>211.46192269294798</x:v>
      </x:c>
      <x:c r="I156" s="563" t="n">
        <x:f>MAX(F156-H156,0)</x:f>
        <x:v>317.192884039422</x:v>
      </x:c>
      <x:c r="J156" s="185" t="n">
        <x:f>MAX('詳細設定'!$D$6,0)*(1+'詳細設定'!$D$21)^(A156-1)</x:f>
        <x:v>39.438876054618945</x:v>
      </x:c>
      <x:c r="K156" s="185" t="n">
        <x:f>IF(A156&lt;=MAX(MIN('詳細設定'!$D$8,20),0),MAX('詳細設定'!$D$7,0),IF(A156&lt;=MAX(MIN('詳細設定'!$D$10,20),0),MAX('詳細設定'!$D$9,0),MAX('詳細設定'!$D$11,0)))</x:f>
        <x:v>8.3</x:v>
      </x:c>
      <x:c r="L156" s="190" t="n">
        <x:f>H156*J156</x:f>
        <x:v>8339.820559358588</x:v>
      </x:c>
      <x:c r="M156" s="190" t="n">
        <x:f>I156*K156</x:f>
        <x:v>2632.7009375272028</x:v>
      </x:c>
      <x:c r="N156" s="190" t="n">
        <x:f>L156+M156</x:f>
        <x:v>10972.52149688579</x:v>
      </x:c>
      <x:c r="O156" s="196" t="n">
        <x:f>F156-H156-I156</x:f>
        <x:v>0</x:v>
      </x:c>
    </x:row>
    <x:row r="157">
      <x:c r="A157" s="20" t="n">
        <x:v>13</x:v>
      </x:c>
      <x:c r="B157" s="20" t="n">
        <x:v>9</x:v>
      </x:c>
      <x:c r="C157" s="563" t="n">
        <x:f>'_計算月次'!$J$13</x:f>
        <x:v>436.37734765103465</x:v>
      </x:c>
      <x:c r="D157" s="563" t="n">
        <x:f>'_計算月次'!$K$13</x:f>
        <x:v>360</x:v>
      </x:c>
      <x:c r="E157" s="585" t="n">
        <x:f>(1-MAX(MIN('詳細設定'!$D$16,0.999999),0))^(A157-1)</x:f>
        <x:v>1</x:v>
      </x:c>
      <x:c r="F157" s="563" t="n">
        <x:f>MAX(C157*E157,0)</x:f>
        <x:v>436.37734765103465</x:v>
      </x:c>
      <x:c r="G157" s="563" t="n">
        <x:f>MAX(MIN('詳細設定'!$D$15,1),0)</x:f>
        <x:v>0.4</x:v>
      </x:c>
      <x:c r="H157" s="563" t="n">
        <x:f>MAX(MIN(F157*G157,D157),0)</x:f>
        <x:v>174.55093906041387</x:v>
      </x:c>
      <x:c r="I157" s="563" t="n">
        <x:f>MAX(F157-H157,0)</x:f>
        <x:v>261.82640859062076</x:v>
      </x:c>
      <x:c r="J157" s="185" t="n">
        <x:f>MAX('詳細設定'!$D$6,0)*(1+'詳細設定'!$D$21)^(A157-1)</x:f>
        <x:v>39.438876054618945</x:v>
      </x:c>
      <x:c r="K157" s="185" t="n">
        <x:f>IF(A157&lt;=MAX(MIN('詳細設定'!$D$8,20),0),MAX('詳細設定'!$D$7,0),IF(A157&lt;=MAX(MIN('詳細設定'!$D$10,20),0),MAX('詳細設定'!$D$9,0),MAX('詳細設定'!$D$11,0)))</x:f>
        <x:v>8.3</x:v>
      </x:c>
      <x:c r="L157" s="190" t="n">
        <x:f>H157*J157</x:f>
        <x:v>6884.092850821007</x:v>
      </x:c>
      <x:c r="M157" s="190" t="n">
        <x:f>I157*K157</x:f>
        <x:v>2173.1591913021525</x:v>
      </x:c>
      <x:c r="N157" s="190" t="n">
        <x:f>L157+M157</x:f>
        <x:v>9057.25204212316</x:v>
      </x:c>
      <x:c r="O157" s="196" t="n">
        <x:f>F157-H157-I157</x:f>
        <x:v>0</x:v>
      </x:c>
    </x:row>
    <x:row r="158">
      <x:c r="A158" s="20" t="n">
        <x:v>13</x:v>
      </x:c>
      <x:c r="B158" s="20" t="n">
        <x:v>10</x:v>
      </x:c>
      <x:c r="C158" s="563" t="n">
        <x:f>'_計算月次'!$J$14</x:f>
        <x:v>408.8269849869007</x:v>
      </x:c>
      <x:c r="D158" s="563" t="n">
        <x:f>'_計算月次'!$K$14</x:f>
        <x:v>315.00000000000006</x:v>
      </x:c>
      <x:c r="E158" s="585" t="n">
        <x:f>(1-MAX(MIN('詳細設定'!$D$16,0.999999),0))^(A158-1)</x:f>
        <x:v>1</x:v>
      </x:c>
      <x:c r="F158" s="563" t="n">
        <x:f>MAX(C158*E158,0)</x:f>
        <x:v>408.8269849869007</x:v>
      </x:c>
      <x:c r="G158" s="563" t="n">
        <x:f>MAX(MIN('詳細設定'!$D$15,1),0)</x:f>
        <x:v>0.4</x:v>
      </x:c>
      <x:c r="H158" s="563" t="n">
        <x:f>MAX(MIN(F158*G158,D158),0)</x:f>
        <x:v>163.5307939947603</x:v>
      </x:c>
      <x:c r="I158" s="563" t="n">
        <x:f>MAX(F158-H158,0)</x:f>
        <x:v>245.2961909921404</x:v>
      </x:c>
      <x:c r="J158" s="185" t="n">
        <x:f>MAX('詳細設定'!$D$6,0)*(1+'詳細設定'!$D$21)^(A158-1)</x:f>
        <x:v>39.438876054618945</x:v>
      </x:c>
      <x:c r="K158" s="185" t="n">
        <x:f>IF(A158&lt;=MAX(MIN('詳細設定'!$D$8,20),0),MAX('詳細設定'!$D$7,0),IF(A158&lt;=MAX(MIN('詳細設定'!$D$10,20),0),MAX('詳細設定'!$D$9,0),MAX('詳細設定'!$D$11,0)))</x:f>
        <x:v>8.3</x:v>
      </x:c>
      <x:c r="L158" s="190" t="n">
        <x:f>H158*J158</x:f>
        <x:v>6449.470715472776</x:v>
      </x:c>
      <x:c r="M158" s="190" t="n">
        <x:f>I158*K158</x:f>
        <x:v>2035.9583852347655</x:v>
      </x:c>
      <x:c r="N158" s="190" t="n">
        <x:f>L158+M158</x:f>
        <x:v>8485.42910070754</x:v>
      </x:c>
      <x:c r="O158" s="196" t="n">
        <x:f>F158-H158-I158</x:f>
        <x:v>0</x:v>
      </x:c>
    </x:row>
    <x:row r="159">
      <x:c r="A159" s="20" t="n">
        <x:v>13</x:v>
      </x:c>
      <x:c r="B159" s="20" t="n">
        <x:v>11</x:v>
      </x:c>
      <x:c r="C159" s="563" t="n">
        <x:f>'_計算月次'!$J$15</x:f>
        <x:v>398.45169764745054</x:v>
      </x:c>
      <x:c r="D159" s="563" t="n">
        <x:f>'_計算月次'!$K$15</x:f>
        <x:v>360</x:v>
      </x:c>
      <x:c r="E159" s="585" t="n">
        <x:f>(1-MAX(MIN('詳細設定'!$D$16,0.999999),0))^(A159-1)</x:f>
        <x:v>1</x:v>
      </x:c>
      <x:c r="F159" s="563" t="n">
        <x:f>MAX(C159*E159,0)</x:f>
        <x:v>398.45169764745054</x:v>
      </x:c>
      <x:c r="G159" s="563" t="n">
        <x:f>MAX(MIN('詳細設定'!$D$15,1),0)</x:f>
        <x:v>0.4</x:v>
      </x:c>
      <x:c r="H159" s="563" t="n">
        <x:f>MAX(MIN(F159*G159,D159),0)</x:f>
        <x:v>159.38067905898023</x:v>
      </x:c>
      <x:c r="I159" s="563" t="n">
        <x:f>MAX(F159-H159,0)</x:f>
        <x:v>239.0710185884703</x:v>
      </x:c>
      <x:c r="J159" s="185" t="n">
        <x:f>MAX('詳細設定'!$D$6,0)*(1+'詳細設定'!$D$21)^(A159-1)</x:f>
        <x:v>39.438876054618945</x:v>
      </x:c>
      <x:c r="K159" s="185" t="n">
        <x:f>IF(A159&lt;=MAX(MIN('詳細設定'!$D$8,20),0),MAX('詳細設定'!$D$7,0),IF(A159&lt;=MAX(MIN('詳細設定'!$D$10,20),0),MAX('詳細設定'!$D$9,0),MAX('詳細設定'!$D$11,0)))</x:f>
        <x:v>8.3</x:v>
      </x:c>
      <x:c r="L159" s="190" t="n">
        <x:f>H159*J159</x:f>
        <x:v>6285.794846908123</x:v>
      </x:c>
      <x:c r="M159" s="190" t="n">
        <x:f>I159*K159</x:f>
        <x:v>1984.2894542843037</x:v>
      </x:c>
      <x:c r="N159" s="190" t="n">
        <x:f>L159+M159</x:f>
        <x:v>8270.084301192426</x:v>
      </x:c>
      <x:c r="O159" s="196" t="n">
        <x:f>F159-H159-I159</x:f>
        <x:v>0</x:v>
      </x:c>
    </x:row>
    <x:row r="160">
      <x:c r="A160" s="20" t="n">
        <x:v>13</x:v>
      </x:c>
      <x:c r="B160" s="20" t="n">
        <x:v>12</x:v>
      </x:c>
      <x:c r="C160" s="563" t="n">
        <x:f>'_計算月次'!$J$16</x:f>
        <x:v>443.97248688000184</x:v>
      </x:c>
      <x:c r="D160" s="563" t="n">
        <x:f>'_計算月次'!$K$16</x:f>
        <x:v>405</x:v>
      </x:c>
      <x:c r="E160" s="585" t="n">
        <x:f>(1-MAX(MIN('詳細設定'!$D$16,0.999999),0))^(A160-1)</x:f>
        <x:v>1</x:v>
      </x:c>
      <x:c r="F160" s="563" t="n">
        <x:f>MAX(C160*E160,0)</x:f>
        <x:v>443.97248688000184</x:v>
      </x:c>
      <x:c r="G160" s="563" t="n">
        <x:f>MAX(MIN('詳細設定'!$D$15,1),0)</x:f>
        <x:v>0.4</x:v>
      </x:c>
      <x:c r="H160" s="563" t="n">
        <x:f>MAX(MIN(F160*G160,D160),0)</x:f>
        <x:v>177.58899475200076</x:v>
      </x:c>
      <x:c r="I160" s="563" t="n">
        <x:f>MAX(F160-H160,0)</x:f>
        <x:v>266.3834921280011</x:v>
      </x:c>
      <x:c r="J160" s="185" t="n">
        <x:f>MAX('詳細設定'!$D$6,0)*(1+'詳細設定'!$D$21)^(A160-1)</x:f>
        <x:v>39.438876054618945</x:v>
      </x:c>
      <x:c r="K160" s="185" t="n">
        <x:f>IF(A160&lt;=MAX(MIN('詳細設定'!$D$8,20),0),MAX('詳細設定'!$D$7,0),IF(A160&lt;=MAX(MIN('詳細設定'!$D$10,20),0),MAX('詳細設定'!$D$9,0),MAX('詳細設定'!$D$11,0)))</x:f>
        <x:v>8.3</x:v>
      </x:c>
      <x:c r="L160" s="190" t="n">
        <x:f>H160*J160</x:f>
        <x:v>7003.910352688532</x:v>
      </x:c>
      <x:c r="M160" s="190" t="n">
        <x:f>I160*K160</x:f>
        <x:v>2210.9829846624093</x:v>
      </x:c>
      <x:c r="N160" s="190" t="n">
        <x:f>L160+M160</x:f>
        <x:v>9214.89333735094</x:v>
      </x:c>
      <x:c r="O160" s="196" t="n">
        <x:f>F160-H160-I160</x:f>
        <x:v>0</x:v>
      </x:c>
    </x:row>
    <x:row r="161">
      <x:c r="A161" s="20" t="n">
        <x:v>14</x:v>
      </x:c>
      <x:c r="B161" s="20" t="n">
        <x:v>1</x:v>
      </x:c>
      <x:c r="C161" s="563" t="n">
        <x:f>'_計算月次'!$J$5</x:f>
        <x:v>502.4147595742038</x:v>
      </x:c>
      <x:c r="D161" s="563" t="n">
        <x:f>'_計算月次'!$K$5</x:f>
        <x:v>450</x:v>
      </x:c>
      <x:c r="E161" s="585" t="n">
        <x:f>(1-MAX(MIN('詳細設定'!$D$16,0.999999),0))^(A161-1)</x:f>
        <x:v>1</x:v>
      </x:c>
      <x:c r="F161" s="563" t="n">
        <x:f>MAX(C161*E161,0)</x:f>
        <x:v>502.4147595742038</x:v>
      </x:c>
      <x:c r="G161" s="563" t="n">
        <x:f>MAX(MIN('詳細設定'!$D$15,1),0)</x:f>
        <x:v>0.4</x:v>
      </x:c>
      <x:c r="H161" s="563" t="n">
        <x:f>MAX(MIN(F161*G161,D161),0)</x:f>
        <x:v>200.96590382968154</x:v>
      </x:c>
      <x:c r="I161" s="563" t="n">
        <x:f>MAX(F161-H161,0)</x:f>
        <x:v>301.44885574452223</x:v>
      </x:c>
      <x:c r="J161" s="185" t="n">
        <x:f>MAX('詳細設定'!$D$6,0)*(1+'詳細設定'!$D$21)^(A161-1)</x:f>
        <x:v>39.83326481516513</x:v>
      </x:c>
      <x:c r="K161" s="185" t="n">
        <x:f>IF(A161&lt;=MAX(MIN('詳細設定'!$D$8,20),0),MAX('詳細設定'!$D$7,0),IF(A161&lt;=MAX(MIN('詳細設定'!$D$10,20),0),MAX('詳細設定'!$D$9,0),MAX('詳細設定'!$D$11,0)))</x:f>
        <x:v>8.3</x:v>
      </x:c>
      <x:c r="L161" s="190" t="n">
        <x:f>H161*J161</x:f>
        <x:v>8005.128066066713</x:v>
      </x:c>
      <x:c r="M161" s="190" t="n">
        <x:f>I161*K161</x:f>
        <x:v>2502.025502679535</x:v>
      </x:c>
      <x:c r="N161" s="190" t="n">
        <x:f>L161+M161</x:f>
        <x:v>10507.153568746247</x:v>
      </x:c>
      <x:c r="O161" s="196" t="n">
        <x:f>F161-H161-I161</x:f>
        <x:v>0</x:v>
      </x:c>
    </x:row>
    <x:row r="162">
      <x:c r="A162" s="20" t="n">
        <x:v>14</x:v>
      </x:c>
      <x:c r="B162" s="20" t="n">
        <x:v>2</x:v>
      </x:c>
      <x:c r="C162" s="563" t="n">
        <x:f>'_計算月次'!$J$6</x:f>
        <x:v>472.4508339500229</x:v>
      </x:c>
      <x:c r="D162" s="563" t="n">
        <x:f>'_計算月次'!$K$6</x:f>
        <x:v>405</x:v>
      </x:c>
      <x:c r="E162" s="585" t="n">
        <x:f>(1-MAX(MIN('詳細設定'!$D$16,0.999999),0))^(A162-1)</x:f>
        <x:v>1</x:v>
      </x:c>
      <x:c r="F162" s="563" t="n">
        <x:f>MAX(C162*E162,0)</x:f>
        <x:v>472.4508339500229</x:v>
      </x:c>
      <x:c r="G162" s="563" t="n">
        <x:f>MAX(MIN('詳細設定'!$D$15,1),0)</x:f>
        <x:v>0.4</x:v>
      </x:c>
      <x:c r="H162" s="563" t="n">
        <x:f>MAX(MIN(F162*G162,D162),0)</x:f>
        <x:v>188.9803335800092</x:v>
      </x:c>
      <x:c r="I162" s="563" t="n">
        <x:f>MAX(F162-H162,0)</x:f>
        <x:v>283.4705003700137</x:v>
      </x:c>
      <x:c r="J162" s="185" t="n">
        <x:f>MAX('詳細設定'!$D$6,0)*(1+'詳細設定'!$D$21)^(A162-1)</x:f>
        <x:v>39.83326481516513</x:v>
      </x:c>
      <x:c r="K162" s="185" t="n">
        <x:f>IF(A162&lt;=MAX(MIN('詳細設定'!$D$8,20),0),MAX('詳細設定'!$D$7,0),IF(A162&lt;=MAX(MIN('詳細設定'!$D$10,20),0),MAX('詳細設定'!$D$9,0),MAX('詳細設定'!$D$11,0)))</x:f>
        <x:v>8.3</x:v>
      </x:c>
      <x:c r="L162" s="190" t="n">
        <x:f>H162*J162</x:f>
        <x:v>7527.703672350749</x:v>
      </x:c>
      <x:c r="M162" s="190" t="n">
        <x:f>I162*K162</x:f>
        <x:v>2352.805153071114</x:v>
      </x:c>
      <x:c r="N162" s="190" t="n">
        <x:f>L162+M162</x:f>
        <x:v>9880.508825421863</x:v>
      </x:c>
      <x:c r="O162" s="196" t="n">
        <x:f>F162-H162-I162</x:f>
        <x:v>0</x:v>
      </x:c>
    </x:row>
    <x:row r="163">
      <x:c r="A163" s="20" t="n">
        <x:v>14</x:v>
      </x:c>
      <x:c r="B163" s="20" t="n">
        <x:v>3</x:v>
      </x:c>
      <x:c r="C163" s="563" t="n">
        <x:f>'_計算月次'!$J$7</x:f>
        <x:v>548.3418864753118</x:v>
      </x:c>
      <x:c r="D163" s="563" t="n">
        <x:f>'_計算月次'!$K$7</x:f>
        <x:v>360</x:v>
      </x:c>
      <x:c r="E163" s="585" t="n">
        <x:f>(1-MAX(MIN('詳細設定'!$D$16,0.999999),0))^(A163-1)</x:f>
        <x:v>1</x:v>
      </x:c>
      <x:c r="F163" s="563" t="n">
        <x:f>MAX(C163*E163,0)</x:f>
        <x:v>548.3418864753118</x:v>
      </x:c>
      <x:c r="G163" s="563" t="n">
        <x:f>MAX(MIN('詳細設定'!$D$15,1),0)</x:f>
        <x:v>0.4</x:v>
      </x:c>
      <x:c r="H163" s="563" t="n">
        <x:f>MAX(MIN(F163*G163,D163),0)</x:f>
        <x:v>219.3367545901247</x:v>
      </x:c>
      <x:c r="I163" s="563" t="n">
        <x:f>MAX(F163-H163,0)</x:f>
        <x:v>329.00513188518704</x:v>
      </x:c>
      <x:c r="J163" s="185" t="n">
        <x:f>MAX('詳細設定'!$D$6,0)*(1+'詳細設定'!$D$21)^(A163-1)</x:f>
        <x:v>39.83326481516513</x:v>
      </x:c>
      <x:c r="K163" s="185" t="n">
        <x:f>IF(A163&lt;=MAX(MIN('詳細設定'!$D$8,20),0),MAX('詳細設定'!$D$7,0),IF(A163&lt;=MAX(MIN('詳細設定'!$D$10,20),0),MAX('詳細設定'!$D$9,0),MAX('詳細設定'!$D$11,0)))</x:f>
        <x:v>8.3</x:v>
      </x:c>
      <x:c r="L163" s="190" t="n">
        <x:f>H163*J163</x:f>
        <x:v>8736.899029287324</x:v>
      </x:c>
      <x:c r="M163" s="190" t="n">
        <x:f>I163*K163</x:f>
        <x:v>2730.7425946470526</x:v>
      </x:c>
      <x:c r="N163" s="190" t="n">
        <x:f>L163+M163</x:f>
        <x:v>11467.641623934376</x:v>
      </x:c>
      <x:c r="O163" s="196" t="n">
        <x:f>F163-H163-I163</x:f>
        <x:v>0</x:v>
      </x:c>
    </x:row>
    <x:row r="164">
      <x:c r="A164" s="20" t="n">
        <x:v>14</x:v>
      </x:c>
      <x:c r="B164" s="20" t="n">
        <x:v>4</x:v>
      </x:c>
      <x:c r="C164" s="563" t="n">
        <x:f>'_計算月次'!$J$8</x:f>
        <x:v>548.3944393749554</x:v>
      </x:c>
      <x:c r="D164" s="563" t="n">
        <x:f>'_計算月次'!$K$8</x:f>
        <x:v>315.00000000000006</x:v>
      </x:c>
      <x:c r="E164" s="585" t="n">
        <x:f>(1-MAX(MIN('詳細設定'!$D$16,0.999999),0))^(A164-1)</x:f>
        <x:v>1</x:v>
      </x:c>
      <x:c r="F164" s="563" t="n">
        <x:f>MAX(C164*E164,0)</x:f>
        <x:v>548.3944393749554</x:v>
      </x:c>
      <x:c r="G164" s="563" t="n">
        <x:f>MAX(MIN('詳細設定'!$D$15,1),0)</x:f>
        <x:v>0.4</x:v>
      </x:c>
      <x:c r="H164" s="563" t="n">
        <x:f>MAX(MIN(F164*G164,D164),0)</x:f>
        <x:v>219.35777574998215</x:v>
      </x:c>
      <x:c r="I164" s="563" t="n">
        <x:f>MAX(F164-H164,0)</x:f>
        <x:v>329.03666362497324</x:v>
      </x:c>
      <x:c r="J164" s="185" t="n">
        <x:f>MAX('詳細設定'!$D$6,0)*(1+'詳細設定'!$D$21)^(A164-1)</x:f>
        <x:v>39.83326481516513</x:v>
      </x:c>
      <x:c r="K164" s="185" t="n">
        <x:f>IF(A164&lt;=MAX(MIN('詳細設定'!$D$8,20),0),MAX('詳細設定'!$D$7,0),IF(A164&lt;=MAX(MIN('詳細設定'!$D$10,20),0),MAX('詳細設定'!$D$9,0),MAX('詳細設定'!$D$11,0)))</x:f>
        <x:v>8.3</x:v>
      </x:c>
      <x:c r="L164" s="190" t="n">
        <x:f>H164*J164</x:f>
        <x:v>8737.736370714647</x:v>
      </x:c>
      <x:c r="M164" s="190" t="n">
        <x:f>I164*K164</x:f>
        <x:v>2731.0043080872783</x:v>
      </x:c>
      <x:c r="N164" s="190" t="n">
        <x:f>L164+M164</x:f>
        <x:v>11468.740678801925</x:v>
      </x:c>
      <x:c r="O164" s="196" t="n">
        <x:f>F164-H164-I164</x:f>
        <x:v>0</x:v>
      </x:c>
    </x:row>
    <x:row r="165">
      <x:c r="A165" s="20" t="n">
        <x:v>14</x:v>
      </x:c>
      <x:c r="B165" s="20" t="n">
        <x:v>5</x:v>
      </x:c>
      <x:c r="C165" s="563" t="n">
        <x:f>'_計算月次'!$J$9</x:f>
        <x:v>552.2367574934775</x:v>
      </x:c>
      <x:c r="D165" s="563" t="n">
        <x:f>'_計算月次'!$K$9</x:f>
        <x:v>315.00000000000006</x:v>
      </x:c>
      <x:c r="E165" s="585" t="n">
        <x:f>(1-MAX(MIN('詳細設定'!$D$16,0.999999),0))^(A165-1)</x:f>
        <x:v>1</x:v>
      </x:c>
      <x:c r="F165" s="563" t="n">
        <x:f>MAX(C165*E165,0)</x:f>
        <x:v>552.2367574934775</x:v>
      </x:c>
      <x:c r="G165" s="563" t="n">
        <x:f>MAX(MIN('詳細設定'!$D$15,1),0)</x:f>
        <x:v>0.4</x:v>
      </x:c>
      <x:c r="H165" s="563" t="n">
        <x:f>MAX(MIN(F165*G165,D165),0)</x:f>
        <x:v>220.89470299739102</x:v>
      </x:c>
      <x:c r="I165" s="563" t="n">
        <x:f>MAX(F165-H165,0)</x:f>
        <x:v>331.34205449608646</x:v>
      </x:c>
      <x:c r="J165" s="185" t="n">
        <x:f>MAX('詳細設定'!$D$6,0)*(1+'詳細設定'!$D$21)^(A165-1)</x:f>
        <x:v>39.83326481516513</x:v>
      </x:c>
      <x:c r="K165" s="185" t="n">
        <x:f>IF(A165&lt;=MAX(MIN('詳細設定'!$D$8,20),0),MAX('詳細設定'!$D$7,0),IF(A165&lt;=MAX(MIN('詳細設定'!$D$10,20),0),MAX('詳細設定'!$D$9,0),MAX('詳細設定'!$D$11,0)))</x:f>
        <x:v>8.3</x:v>
      </x:c>
      <x:c r="L165" s="190" t="n">
        <x:f>H165*J165</x:f>
        <x:v>8798.957200762326</x:v>
      </x:c>
      <x:c r="M165" s="190" t="n">
        <x:f>I165*K165</x:f>
        <x:v>2750.139052317518</x:v>
      </x:c>
      <x:c r="N165" s="190" t="n">
        <x:f>L165+M165</x:f>
        <x:v>11549.096253079844</x:v>
      </x:c>
      <x:c r="O165" s="196" t="n">
        <x:f>F165-H165-I165</x:f>
        <x:v>0</x:v>
      </x:c>
    </x:row>
    <x:row r="166">
      <x:c r="A166" s="20" t="n">
        <x:v>14</x:v>
      </x:c>
      <x:c r="B166" s="20" t="n">
        <x:v>6</x:v>
      </x:c>
      <x:c r="C166" s="563" t="n">
        <x:f>'_計算月次'!$J$10</x:f>
        <x:v>448.7994857612148</x:v>
      </x:c>
      <x:c r="D166" s="563" t="n">
        <x:f>'_計算月次'!$K$10</x:f>
        <x:v>360</x:v>
      </x:c>
      <x:c r="E166" s="585" t="n">
        <x:f>(1-MAX(MIN('詳細設定'!$D$16,0.999999),0))^(A166-1)</x:f>
        <x:v>1</x:v>
      </x:c>
      <x:c r="F166" s="563" t="n">
        <x:f>MAX(C166*E166,0)</x:f>
        <x:v>448.7994857612148</x:v>
      </x:c>
      <x:c r="G166" s="563" t="n">
        <x:f>MAX(MIN('詳細設定'!$D$15,1),0)</x:f>
        <x:v>0.4</x:v>
      </x:c>
      <x:c r="H166" s="563" t="n">
        <x:f>MAX(MIN(F166*G166,D166),0)</x:f>
        <x:v>179.5197943044859</x:v>
      </x:c>
      <x:c r="I166" s="563" t="n">
        <x:f>MAX(F166-H166,0)</x:f>
        <x:v>269.27969145672887</x:v>
      </x:c>
      <x:c r="J166" s="185" t="n">
        <x:f>MAX('詳細設定'!$D$6,0)*(1+'詳細設定'!$D$21)^(A166-1)</x:f>
        <x:v>39.83326481516513</x:v>
      </x:c>
      <x:c r="K166" s="185" t="n">
        <x:f>IF(A166&lt;=MAX(MIN('詳細設定'!$D$8,20),0),MAX('詳細設定'!$D$7,0),IF(A166&lt;=MAX(MIN('詳細設定'!$D$10,20),0),MAX('詳細設定'!$D$9,0),MAX('詳細設定'!$D$11,0)))</x:f>
        <x:v>8.3</x:v>
      </x:c>
      <x:c r="L166" s="190" t="n">
        <x:f>H166*J166</x:f>
        <x:v>7150.85950609456</x:v>
      </x:c>
      <x:c r="M166" s="190" t="n">
        <x:f>I166*K166</x:f>
        <x:v>2235.02143909085</x:v>
      </x:c>
      <x:c r="N166" s="190" t="n">
        <x:f>L166+M166</x:f>
        <x:v>9385.88094518541</x:v>
      </x:c>
      <x:c r="O166" s="196" t="n">
        <x:f>F166-H166-I166</x:f>
        <x:v>0</x:v>
      </x:c>
    </x:row>
    <x:row r="167">
      <x:c r="A167" s="20" t="n">
        <x:v>14</x:v>
      </x:c>
      <x:c r="B167" s="20" t="n">
        <x:v>7</x:v>
      </x:c>
      <x:c r="C167" s="563" t="n">
        <x:f>'_計算月次'!$J$11</x:f>
        <x:v>476.0181638067866</x:v>
      </x:c>
      <x:c r="D167" s="563" t="n">
        <x:f>'_計算月次'!$K$11</x:f>
        <x:v>405</x:v>
      </x:c>
      <x:c r="E167" s="585" t="n">
        <x:f>(1-MAX(MIN('詳細設定'!$D$16,0.999999),0))^(A167-1)</x:f>
        <x:v>1</x:v>
      </x:c>
      <x:c r="F167" s="563" t="n">
        <x:f>MAX(C167*E167,0)</x:f>
        <x:v>476.0181638067866</x:v>
      </x:c>
      <x:c r="G167" s="563" t="n">
        <x:f>MAX(MIN('詳細設定'!$D$15,1),0)</x:f>
        <x:v>0.4</x:v>
      </x:c>
      <x:c r="H167" s="563" t="n">
        <x:f>MAX(MIN(F167*G167,D167),0)</x:f>
        <x:v>190.40726552271465</x:v>
      </x:c>
      <x:c r="I167" s="563" t="n">
        <x:f>MAX(F167-H167,0)</x:f>
        <x:v>285.61089828407194</x:v>
      </x:c>
      <x:c r="J167" s="185" t="n">
        <x:f>MAX('詳細設定'!$D$6,0)*(1+'詳細設定'!$D$21)^(A167-1)</x:f>
        <x:v>39.83326481516513</x:v>
      </x:c>
      <x:c r="K167" s="185" t="n">
        <x:f>IF(A167&lt;=MAX(MIN('詳細設定'!$D$8,20),0),MAX('詳細設定'!$D$7,0),IF(A167&lt;=MAX(MIN('詳細設定'!$D$10,20),0),MAX('詳細設定'!$D$9,0),MAX('詳細設定'!$D$11,0)))</x:f>
        <x:v>8.3</x:v>
      </x:c>
      <x:c r="L167" s="190" t="n">
        <x:f>H167*J167</x:f>
        <x:v>7584.543030297754</x:v>
      </x:c>
      <x:c r="M167" s="190" t="n">
        <x:f>I167*K167</x:f>
        <x:v>2370.5704557577974</x:v>
      </x:c>
      <x:c r="N167" s="190" t="n">
        <x:f>L167+M167</x:f>
        <x:v>9955.11348605555</x:v>
      </x:c>
      <x:c r="O167" s="196" t="n">
        <x:f>F167-H167-I167</x:f>
        <x:v>0</x:v>
      </x:c>
    </x:row>
    <x:row r="168">
      <x:c r="A168" s="20" t="n">
        <x:v>14</x:v>
      </x:c>
      <x:c r="B168" s="20" t="n">
        <x:v>8</x:v>
      </x:c>
      <x:c r="C168" s="563" t="n">
        <x:f>'_計算月次'!$J$12</x:f>
        <x:v>528.6548067323699</x:v>
      </x:c>
      <x:c r="D168" s="563" t="n">
        <x:f>'_計算月次'!$K$12</x:f>
        <x:v>450</x:v>
      </x:c>
      <x:c r="E168" s="585" t="n">
        <x:f>(1-MAX(MIN('詳細設定'!$D$16,0.999999),0))^(A168-1)</x:f>
        <x:v>1</x:v>
      </x:c>
      <x:c r="F168" s="563" t="n">
        <x:f>MAX(C168*E168,0)</x:f>
        <x:v>528.6548067323699</x:v>
      </x:c>
      <x:c r="G168" s="563" t="n">
        <x:f>MAX(MIN('詳細設定'!$D$15,1),0)</x:f>
        <x:v>0.4</x:v>
      </x:c>
      <x:c r="H168" s="563" t="n">
        <x:f>MAX(MIN(F168*G168,D168),0)</x:f>
        <x:v>211.46192269294798</x:v>
      </x:c>
      <x:c r="I168" s="563" t="n">
        <x:f>MAX(F168-H168,0)</x:f>
        <x:v>317.192884039422</x:v>
      </x:c>
      <x:c r="J168" s="185" t="n">
        <x:f>MAX('詳細設定'!$D$6,0)*(1+'詳細設定'!$D$21)^(A168-1)</x:f>
        <x:v>39.83326481516513</x:v>
      </x:c>
      <x:c r="K168" s="185" t="n">
        <x:f>IF(A168&lt;=MAX(MIN('詳細設定'!$D$8,20),0),MAX('詳細設定'!$D$7,0),IF(A168&lt;=MAX(MIN('詳細設定'!$D$10,20),0),MAX('詳細設定'!$D$9,0),MAX('詳細設定'!$D$11,0)))</x:f>
        <x:v>8.3</x:v>
      </x:c>
      <x:c r="L168" s="190" t="n">
        <x:f>H168*J168</x:f>
        <x:v>8423.218764952173</x:v>
      </x:c>
      <x:c r="M168" s="190" t="n">
        <x:f>I168*K168</x:f>
        <x:v>2632.7009375272028</x:v>
      </x:c>
      <x:c r="N168" s="190" t="n">
        <x:f>L168+M168</x:f>
        <x:v>11055.919702479376</x:v>
      </x:c>
      <x:c r="O168" s="196" t="n">
        <x:f>F168-H168-I168</x:f>
        <x:v>0</x:v>
      </x:c>
    </x:row>
    <x:row r="169">
      <x:c r="A169" s="20" t="n">
        <x:v>14</x:v>
      </x:c>
      <x:c r="B169" s="20" t="n">
        <x:v>9</x:v>
      </x:c>
      <x:c r="C169" s="563" t="n">
        <x:f>'_計算月次'!$J$13</x:f>
        <x:v>436.37734765103465</x:v>
      </x:c>
      <x:c r="D169" s="563" t="n">
        <x:f>'_計算月次'!$K$13</x:f>
        <x:v>360</x:v>
      </x:c>
      <x:c r="E169" s="585" t="n">
        <x:f>(1-MAX(MIN('詳細設定'!$D$16,0.999999),0))^(A169-1)</x:f>
        <x:v>1</x:v>
      </x:c>
      <x:c r="F169" s="563" t="n">
        <x:f>MAX(C169*E169,0)</x:f>
        <x:v>436.37734765103465</x:v>
      </x:c>
      <x:c r="G169" s="563" t="n">
        <x:f>MAX(MIN('詳細設定'!$D$15,1),0)</x:f>
        <x:v>0.4</x:v>
      </x:c>
      <x:c r="H169" s="563" t="n">
        <x:f>MAX(MIN(F169*G169,D169),0)</x:f>
        <x:v>174.55093906041387</x:v>
      </x:c>
      <x:c r="I169" s="563" t="n">
        <x:f>MAX(F169-H169,0)</x:f>
        <x:v>261.82640859062076</x:v>
      </x:c>
      <x:c r="J169" s="185" t="n">
        <x:f>MAX('詳細設定'!$D$6,0)*(1+'詳細設定'!$D$21)^(A169-1)</x:f>
        <x:v>39.83326481516513</x:v>
      </x:c>
      <x:c r="K169" s="185" t="n">
        <x:f>IF(A169&lt;=MAX(MIN('詳細設定'!$D$8,20),0),MAX('詳細設定'!$D$7,0),IF(A169&lt;=MAX(MIN('詳細設定'!$D$10,20),0),MAX('詳細設定'!$D$9,0),MAX('詳細設定'!$D$11,0)))</x:f>
        <x:v>8.3</x:v>
      </x:c>
      <x:c r="L169" s="190" t="n">
        <x:f>H169*J169</x:f>
        <x:v>6952.933779329216</x:v>
      </x:c>
      <x:c r="M169" s="190" t="n">
        <x:f>I169*K169</x:f>
        <x:v>2173.1591913021525</x:v>
      </x:c>
      <x:c r="N169" s="190" t="n">
        <x:f>L169+M169</x:f>
        <x:v>9126.09297063137</x:v>
      </x:c>
      <x:c r="O169" s="196" t="n">
        <x:f>F169-H169-I169</x:f>
        <x:v>0</x:v>
      </x:c>
    </x:row>
    <x:row r="170">
      <x:c r="A170" s="20" t="n">
        <x:v>14</x:v>
      </x:c>
      <x:c r="B170" s="20" t="n">
        <x:v>10</x:v>
      </x:c>
      <x:c r="C170" s="563" t="n">
        <x:f>'_計算月次'!$J$14</x:f>
        <x:v>408.8269849869007</x:v>
      </x:c>
      <x:c r="D170" s="563" t="n">
        <x:f>'_計算月次'!$K$14</x:f>
        <x:v>315.00000000000006</x:v>
      </x:c>
      <x:c r="E170" s="585" t="n">
        <x:f>(1-MAX(MIN('詳細設定'!$D$16,0.999999),0))^(A170-1)</x:f>
        <x:v>1</x:v>
      </x:c>
      <x:c r="F170" s="563" t="n">
        <x:f>MAX(C170*E170,0)</x:f>
        <x:v>408.8269849869007</x:v>
      </x:c>
      <x:c r="G170" s="563" t="n">
        <x:f>MAX(MIN('詳細設定'!$D$15,1),0)</x:f>
        <x:v>0.4</x:v>
      </x:c>
      <x:c r="H170" s="563" t="n">
        <x:f>MAX(MIN(F170*G170,D170),0)</x:f>
        <x:v>163.5307939947603</x:v>
      </x:c>
      <x:c r="I170" s="563" t="n">
        <x:f>MAX(F170-H170,0)</x:f>
        <x:v>245.2961909921404</x:v>
      </x:c>
      <x:c r="J170" s="185" t="n">
        <x:f>MAX('詳細設定'!$D$6,0)*(1+'詳細設定'!$D$21)^(A170-1)</x:f>
        <x:v>39.83326481516513</x:v>
      </x:c>
      <x:c r="K170" s="185" t="n">
        <x:f>IF(A170&lt;=MAX(MIN('詳細設定'!$D$8,20),0),MAX('詳細設定'!$D$7,0),IF(A170&lt;=MAX(MIN('詳細設定'!$D$10,20),0),MAX('詳細設定'!$D$9,0),MAX('詳細設定'!$D$11,0)))</x:f>
        <x:v>8.3</x:v>
      </x:c>
      <x:c r="L170" s="190" t="n">
        <x:f>H170*J170</x:f>
        <x:v>6513.965422627502</x:v>
      </x:c>
      <x:c r="M170" s="190" t="n">
        <x:f>I170*K170</x:f>
        <x:v>2035.9583852347655</x:v>
      </x:c>
      <x:c r="N170" s="190" t="n">
        <x:f>L170+M170</x:f>
        <x:v>8549.923807862267</x:v>
      </x:c>
      <x:c r="O170" s="196" t="n">
        <x:f>F170-H170-I170</x:f>
        <x:v>0</x:v>
      </x:c>
    </x:row>
    <x:row r="171">
      <x:c r="A171" s="20" t="n">
        <x:v>14</x:v>
      </x:c>
      <x:c r="B171" s="20" t="n">
        <x:v>11</x:v>
      </x:c>
      <x:c r="C171" s="563" t="n">
        <x:f>'_計算月次'!$J$15</x:f>
        <x:v>398.45169764745054</x:v>
      </x:c>
      <x:c r="D171" s="563" t="n">
        <x:f>'_計算月次'!$K$15</x:f>
        <x:v>360</x:v>
      </x:c>
      <x:c r="E171" s="585" t="n">
        <x:f>(1-MAX(MIN('詳細設定'!$D$16,0.999999),0))^(A171-1)</x:f>
        <x:v>1</x:v>
      </x:c>
      <x:c r="F171" s="563" t="n">
        <x:f>MAX(C171*E171,0)</x:f>
        <x:v>398.45169764745054</x:v>
      </x:c>
      <x:c r="G171" s="563" t="n">
        <x:f>MAX(MIN('詳細設定'!$D$15,1),0)</x:f>
        <x:v>0.4</x:v>
      </x:c>
      <x:c r="H171" s="563" t="n">
        <x:f>MAX(MIN(F171*G171,D171),0)</x:f>
        <x:v>159.38067905898023</x:v>
      </x:c>
      <x:c r="I171" s="563" t="n">
        <x:f>MAX(F171-H171,0)</x:f>
        <x:v>239.0710185884703</x:v>
      </x:c>
      <x:c r="J171" s="185" t="n">
        <x:f>MAX('詳細設定'!$D$6,0)*(1+'詳細設定'!$D$21)^(A171-1)</x:f>
        <x:v>39.83326481516513</x:v>
      </x:c>
      <x:c r="K171" s="185" t="n">
        <x:f>IF(A171&lt;=MAX(MIN('詳細設定'!$D$8,20),0),MAX('詳細設定'!$D$7,0),IF(A171&lt;=MAX(MIN('詳細設定'!$D$10,20),0),MAX('詳細設定'!$D$9,0),MAX('詳細設定'!$D$11,0)))</x:f>
        <x:v>8.3</x:v>
      </x:c>
      <x:c r="L171" s="190" t="n">
        <x:f>H171*J171</x:f>
        <x:v>6348.652795377203</x:v>
      </x:c>
      <x:c r="M171" s="190" t="n">
        <x:f>I171*K171</x:f>
        <x:v>1984.2894542843037</x:v>
      </x:c>
      <x:c r="N171" s="190" t="n">
        <x:f>L171+M171</x:f>
        <x:v>8332.942249661506</x:v>
      </x:c>
      <x:c r="O171" s="196" t="n">
        <x:f>F171-H171-I171</x:f>
        <x:v>0</x:v>
      </x:c>
    </x:row>
    <x:row r="172">
      <x:c r="A172" s="20" t="n">
        <x:v>14</x:v>
      </x:c>
      <x:c r="B172" s="20" t="n">
        <x:v>12</x:v>
      </x:c>
      <x:c r="C172" s="563" t="n">
        <x:f>'_計算月次'!$J$16</x:f>
        <x:v>443.97248688000184</x:v>
      </x:c>
      <x:c r="D172" s="563" t="n">
        <x:f>'_計算月次'!$K$16</x:f>
        <x:v>405</x:v>
      </x:c>
      <x:c r="E172" s="585" t="n">
        <x:f>(1-MAX(MIN('詳細設定'!$D$16,0.999999),0))^(A172-1)</x:f>
        <x:v>1</x:v>
      </x:c>
      <x:c r="F172" s="563" t="n">
        <x:f>MAX(C172*E172,0)</x:f>
        <x:v>443.97248688000184</x:v>
      </x:c>
      <x:c r="G172" s="563" t="n">
        <x:f>MAX(MIN('詳細設定'!$D$15,1),0)</x:f>
        <x:v>0.4</x:v>
      </x:c>
      <x:c r="H172" s="563" t="n">
        <x:f>MAX(MIN(F172*G172,D172),0)</x:f>
        <x:v>177.58899475200076</x:v>
      </x:c>
      <x:c r="I172" s="563" t="n">
        <x:f>MAX(F172-H172,0)</x:f>
        <x:v>266.3834921280011</x:v>
      </x:c>
      <x:c r="J172" s="185" t="n">
        <x:f>MAX('詳細設定'!$D$6,0)*(1+'詳細設定'!$D$21)^(A172-1)</x:f>
        <x:v>39.83326481516513</x:v>
      </x:c>
      <x:c r="K172" s="185" t="n">
        <x:f>IF(A172&lt;=MAX(MIN('詳細設定'!$D$8,20),0),MAX('詳細設定'!$D$7,0),IF(A172&lt;=MAX(MIN('詳細設定'!$D$10,20),0),MAX('詳細設定'!$D$9,0),MAX('詳細設定'!$D$11,0)))</x:f>
        <x:v>8.3</x:v>
      </x:c>
      <x:c r="L172" s="190" t="n">
        <x:f>H172*J172</x:f>
        <x:v>7073.949456215417</x:v>
      </x:c>
      <x:c r="M172" s="190" t="n">
        <x:f>I172*K172</x:f>
        <x:v>2210.9829846624093</x:v>
      </x:c>
      <x:c r="N172" s="190" t="n">
        <x:f>L172+M172</x:f>
        <x:v>9284.932440877827</x:v>
      </x:c>
      <x:c r="O172" s="196" t="n">
        <x:f>F172-H172-I172</x:f>
        <x:v>0</x:v>
      </x:c>
    </x:row>
    <x:row r="173">
      <x:c r="A173" s="20" t="n">
        <x:v>15</x:v>
      </x:c>
      <x:c r="B173" s="20" t="n">
        <x:v>1</x:v>
      </x:c>
      <x:c r="C173" s="563" t="n">
        <x:f>'_計算月次'!$J$5</x:f>
        <x:v>502.4147595742038</x:v>
      </x:c>
      <x:c r="D173" s="563" t="n">
        <x:f>'_計算月次'!$K$5</x:f>
        <x:v>450</x:v>
      </x:c>
      <x:c r="E173" s="585" t="n">
        <x:f>(1-MAX(MIN('詳細設定'!$D$16,0.999999),0))^(A173-1)</x:f>
        <x:v>1</x:v>
      </x:c>
      <x:c r="F173" s="563" t="n">
        <x:f>MAX(C173*E173,0)</x:f>
        <x:v>502.4147595742038</x:v>
      </x:c>
      <x:c r="G173" s="563" t="n">
        <x:f>MAX(MIN('詳細設定'!$D$15,1),0)</x:f>
        <x:v>0.4</x:v>
      </x:c>
      <x:c r="H173" s="563" t="n">
        <x:f>MAX(MIN(F173*G173,D173),0)</x:f>
        <x:v>200.96590382968154</x:v>
      </x:c>
      <x:c r="I173" s="563" t="n">
        <x:f>MAX(F173-H173,0)</x:f>
        <x:v>301.44885574452223</x:v>
      </x:c>
      <x:c r="J173" s="185" t="n">
        <x:f>MAX('詳細設定'!$D$6,0)*(1+'詳細設定'!$D$21)^(A173-1)</x:f>
        <x:v>40.23159746331679</x:v>
      </x:c>
      <x:c r="K173" s="185" t="n">
        <x:f>IF(A173&lt;=MAX(MIN('詳細設定'!$D$8,20),0),MAX('詳細設定'!$D$7,0),IF(A173&lt;=MAX(MIN('詳細設定'!$D$10,20),0),MAX('詳細設定'!$D$9,0),MAX('詳細設定'!$D$11,0)))</x:f>
        <x:v>8.3</x:v>
      </x:c>
      <x:c r="L173" s="190" t="n">
        <x:f>H173*J173</x:f>
        <x:v>8085.179346727381</x:v>
      </x:c>
      <x:c r="M173" s="190" t="n">
        <x:f>I173*K173</x:f>
        <x:v>2502.025502679535</x:v>
      </x:c>
      <x:c r="N173" s="190" t="n">
        <x:f>L173+M173</x:f>
        <x:v>10587.204849406917</x:v>
      </x:c>
      <x:c r="O173" s="196" t="n">
        <x:f>F173-H173-I173</x:f>
        <x:v>0</x:v>
      </x:c>
    </x:row>
    <x:row r="174">
      <x:c r="A174" s="20" t="n">
        <x:v>15</x:v>
      </x:c>
      <x:c r="B174" s="20" t="n">
        <x:v>2</x:v>
      </x:c>
      <x:c r="C174" s="563" t="n">
        <x:f>'_計算月次'!$J$6</x:f>
        <x:v>472.4508339500229</x:v>
      </x:c>
      <x:c r="D174" s="563" t="n">
        <x:f>'_計算月次'!$K$6</x:f>
        <x:v>405</x:v>
      </x:c>
      <x:c r="E174" s="585" t="n">
        <x:f>(1-MAX(MIN('詳細設定'!$D$16,0.999999),0))^(A174-1)</x:f>
        <x:v>1</x:v>
      </x:c>
      <x:c r="F174" s="563" t="n">
        <x:f>MAX(C174*E174,0)</x:f>
        <x:v>472.4508339500229</x:v>
      </x:c>
      <x:c r="G174" s="563" t="n">
        <x:f>MAX(MIN('詳細設定'!$D$15,1),0)</x:f>
        <x:v>0.4</x:v>
      </x:c>
      <x:c r="H174" s="563" t="n">
        <x:f>MAX(MIN(F174*G174,D174),0)</x:f>
        <x:v>188.9803335800092</x:v>
      </x:c>
      <x:c r="I174" s="563" t="n">
        <x:f>MAX(F174-H174,0)</x:f>
        <x:v>283.4705003700137</x:v>
      </x:c>
      <x:c r="J174" s="185" t="n">
        <x:f>MAX('詳細設定'!$D$6,0)*(1+'詳細設定'!$D$21)^(A174-1)</x:f>
        <x:v>40.23159746331679</x:v>
      </x:c>
      <x:c r="K174" s="185" t="n">
        <x:f>IF(A174&lt;=MAX(MIN('詳細設定'!$D$8,20),0),MAX('詳細設定'!$D$7,0),IF(A174&lt;=MAX(MIN('詳細設定'!$D$10,20),0),MAX('詳細設定'!$D$9,0),MAX('詳細設定'!$D$11,0)))</x:f>
        <x:v>8.3</x:v>
      </x:c>
      <x:c r="L174" s="190" t="n">
        <x:f>H174*J174</x:f>
        <x:v>7602.980709074258</x:v>
      </x:c>
      <x:c r="M174" s="190" t="n">
        <x:f>I174*K174</x:f>
        <x:v>2352.805153071114</x:v>
      </x:c>
      <x:c r="N174" s="190" t="n">
        <x:f>L174+M174</x:f>
        <x:v>9955.785862145372</x:v>
      </x:c>
      <x:c r="O174" s="196" t="n">
        <x:f>F174-H174-I174</x:f>
        <x:v>0</x:v>
      </x:c>
    </x:row>
    <x:row r="175">
      <x:c r="A175" s="20" t="n">
        <x:v>15</x:v>
      </x:c>
      <x:c r="B175" s="20" t="n">
        <x:v>3</x:v>
      </x:c>
      <x:c r="C175" s="563" t="n">
        <x:f>'_計算月次'!$J$7</x:f>
        <x:v>548.3418864753118</x:v>
      </x:c>
      <x:c r="D175" s="563" t="n">
        <x:f>'_計算月次'!$K$7</x:f>
        <x:v>360</x:v>
      </x:c>
      <x:c r="E175" s="585" t="n">
        <x:f>(1-MAX(MIN('詳細設定'!$D$16,0.999999),0))^(A175-1)</x:f>
        <x:v>1</x:v>
      </x:c>
      <x:c r="F175" s="563" t="n">
        <x:f>MAX(C175*E175,0)</x:f>
        <x:v>548.3418864753118</x:v>
      </x:c>
      <x:c r="G175" s="563" t="n">
        <x:f>MAX(MIN('詳細設定'!$D$15,1),0)</x:f>
        <x:v>0.4</x:v>
      </x:c>
      <x:c r="H175" s="563" t="n">
        <x:f>MAX(MIN(F175*G175,D175),0)</x:f>
        <x:v>219.3367545901247</x:v>
      </x:c>
      <x:c r="I175" s="563" t="n">
        <x:f>MAX(F175-H175,0)</x:f>
        <x:v>329.00513188518704</x:v>
      </x:c>
      <x:c r="J175" s="185" t="n">
        <x:f>MAX('詳細設定'!$D$6,0)*(1+'詳細設定'!$D$21)^(A175-1)</x:f>
        <x:v>40.23159746331679</x:v>
      </x:c>
      <x:c r="K175" s="185" t="n">
        <x:f>IF(A175&lt;=MAX(MIN('詳細設定'!$D$8,20),0),MAX('詳細設定'!$D$7,0),IF(A175&lt;=MAX(MIN('詳細設定'!$D$10,20),0),MAX('詳細設定'!$D$9,0),MAX('詳細設定'!$D$11,0)))</x:f>
        <x:v>8.3</x:v>
      </x:c>
      <x:c r="L175" s="190" t="n">
        <x:f>H175*J175</x:f>
        <x:v>8824.268019580199</x:v>
      </x:c>
      <x:c r="M175" s="190" t="n">
        <x:f>I175*K175</x:f>
        <x:v>2730.7425946470526</x:v>
      </x:c>
      <x:c r="N175" s="190" t="n">
        <x:f>L175+M175</x:f>
        <x:v>11555.01061422725</x:v>
      </x:c>
      <x:c r="O175" s="196" t="n">
        <x:f>F175-H175-I175</x:f>
        <x:v>0</x:v>
      </x:c>
    </x:row>
    <x:row r="176">
      <x:c r="A176" s="20" t="n">
        <x:v>15</x:v>
      </x:c>
      <x:c r="B176" s="20" t="n">
        <x:v>4</x:v>
      </x:c>
      <x:c r="C176" s="563" t="n">
        <x:f>'_計算月次'!$J$8</x:f>
        <x:v>548.3944393749554</x:v>
      </x:c>
      <x:c r="D176" s="563" t="n">
        <x:f>'_計算月次'!$K$8</x:f>
        <x:v>315.00000000000006</x:v>
      </x:c>
      <x:c r="E176" s="585" t="n">
        <x:f>(1-MAX(MIN('詳細設定'!$D$16,0.999999),0))^(A176-1)</x:f>
        <x:v>1</x:v>
      </x:c>
      <x:c r="F176" s="563" t="n">
        <x:f>MAX(C176*E176,0)</x:f>
        <x:v>548.3944393749554</x:v>
      </x:c>
      <x:c r="G176" s="563" t="n">
        <x:f>MAX(MIN('詳細設定'!$D$15,1),0)</x:f>
        <x:v>0.4</x:v>
      </x:c>
      <x:c r="H176" s="563" t="n">
        <x:f>MAX(MIN(F176*G176,D176),0)</x:f>
        <x:v>219.35777574998215</x:v>
      </x:c>
      <x:c r="I176" s="563" t="n">
        <x:f>MAX(F176-H176,0)</x:f>
        <x:v>329.03666362497324</x:v>
      </x:c>
      <x:c r="J176" s="185" t="n">
        <x:f>MAX('詳細設定'!$D$6,0)*(1+'詳細設定'!$D$21)^(A176-1)</x:f>
        <x:v>40.23159746331679</x:v>
      </x:c>
      <x:c r="K176" s="185" t="n">
        <x:f>IF(A176&lt;=MAX(MIN('詳細設定'!$D$8,20),0),MAX('詳細設定'!$D$7,0),IF(A176&lt;=MAX(MIN('詳細設定'!$D$10,20),0),MAX('詳細設定'!$D$9,0),MAX('詳細設定'!$D$11,0)))</x:f>
        <x:v>8.3</x:v>
      </x:c>
      <x:c r="L176" s="190" t="n">
        <x:f>H176*J176</x:f>
        <x:v>8825.113734421795</x:v>
      </x:c>
      <x:c r="M176" s="190" t="n">
        <x:f>I176*K176</x:f>
        <x:v>2731.0043080872783</x:v>
      </x:c>
      <x:c r="N176" s="190" t="n">
        <x:f>L176+M176</x:f>
        <x:v>11556.118042509073</x:v>
      </x:c>
      <x:c r="O176" s="196" t="n">
        <x:f>F176-H176-I176</x:f>
        <x:v>0</x:v>
      </x:c>
    </x:row>
    <x:row r="177">
      <x:c r="A177" s="20" t="n">
        <x:v>15</x:v>
      </x:c>
      <x:c r="B177" s="20" t="n">
        <x:v>5</x:v>
      </x:c>
      <x:c r="C177" s="563" t="n">
        <x:f>'_計算月次'!$J$9</x:f>
        <x:v>552.2367574934775</x:v>
      </x:c>
      <x:c r="D177" s="563" t="n">
        <x:f>'_計算月次'!$K$9</x:f>
        <x:v>315.00000000000006</x:v>
      </x:c>
      <x:c r="E177" s="585" t="n">
        <x:f>(1-MAX(MIN('詳細設定'!$D$16,0.999999),0))^(A177-1)</x:f>
        <x:v>1</x:v>
      </x:c>
      <x:c r="F177" s="563" t="n">
        <x:f>MAX(C177*E177,0)</x:f>
        <x:v>552.2367574934775</x:v>
      </x:c>
      <x:c r="G177" s="563" t="n">
        <x:f>MAX(MIN('詳細設定'!$D$15,1),0)</x:f>
        <x:v>0.4</x:v>
      </x:c>
      <x:c r="H177" s="563" t="n">
        <x:f>MAX(MIN(F177*G177,D177),0)</x:f>
        <x:v>220.89470299739102</x:v>
      </x:c>
      <x:c r="I177" s="563" t="n">
        <x:f>MAX(F177-H177,0)</x:f>
        <x:v>331.34205449608646</x:v>
      </x:c>
      <x:c r="J177" s="185" t="n">
        <x:f>MAX('詳細設定'!$D$6,0)*(1+'詳細設定'!$D$21)^(A177-1)</x:f>
        <x:v>40.23159746331679</x:v>
      </x:c>
      <x:c r="K177" s="185" t="n">
        <x:f>IF(A177&lt;=MAX(MIN('詳細設定'!$D$8,20),0),MAX('詳細設定'!$D$7,0),IF(A177&lt;=MAX(MIN('詳細設定'!$D$10,20),0),MAX('詳細設定'!$D$9,0),MAX('詳細設定'!$D$11,0)))</x:f>
        <x:v>8.3</x:v>
      </x:c>
      <x:c r="L177" s="190" t="n">
        <x:f>H177*J177</x:f>
        <x:v>8886.946772769952</x:v>
      </x:c>
      <x:c r="M177" s="190" t="n">
        <x:f>I177*K177</x:f>
        <x:v>2750.139052317518</x:v>
      </x:c>
      <x:c r="N177" s="190" t="n">
        <x:f>L177+M177</x:f>
        <x:v>11637.08582508747</x:v>
      </x:c>
      <x:c r="O177" s="196" t="n">
        <x:f>F177-H177-I177</x:f>
        <x:v>0</x:v>
      </x:c>
    </x:row>
    <x:row r="178">
      <x:c r="A178" s="20" t="n">
        <x:v>15</x:v>
      </x:c>
      <x:c r="B178" s="20" t="n">
        <x:v>6</x:v>
      </x:c>
      <x:c r="C178" s="563" t="n">
        <x:f>'_計算月次'!$J$10</x:f>
        <x:v>448.7994857612148</x:v>
      </x:c>
      <x:c r="D178" s="563" t="n">
        <x:f>'_計算月次'!$K$10</x:f>
        <x:v>360</x:v>
      </x:c>
      <x:c r="E178" s="585" t="n">
        <x:f>(1-MAX(MIN('詳細設定'!$D$16,0.999999),0))^(A178-1)</x:f>
        <x:v>1</x:v>
      </x:c>
      <x:c r="F178" s="563" t="n">
        <x:f>MAX(C178*E178,0)</x:f>
        <x:v>448.7994857612148</x:v>
      </x:c>
      <x:c r="G178" s="563" t="n">
        <x:f>MAX(MIN('詳細設定'!$D$15,1),0)</x:f>
        <x:v>0.4</x:v>
      </x:c>
      <x:c r="H178" s="563" t="n">
        <x:f>MAX(MIN(F178*G178,D178),0)</x:f>
        <x:v>179.5197943044859</x:v>
      </x:c>
      <x:c r="I178" s="563" t="n">
        <x:f>MAX(F178-H178,0)</x:f>
        <x:v>269.27969145672887</x:v>
      </x:c>
      <x:c r="J178" s="185" t="n">
        <x:f>MAX('詳細設定'!$D$6,0)*(1+'詳細設定'!$D$21)^(A178-1)</x:f>
        <x:v>40.23159746331679</x:v>
      </x:c>
      <x:c r="K178" s="185" t="n">
        <x:f>IF(A178&lt;=MAX(MIN('詳細設定'!$D$8,20),0),MAX('詳細設定'!$D$7,0),IF(A178&lt;=MAX(MIN('詳細設定'!$D$10,20),0),MAX('詳細設定'!$D$9,0),MAX('詳細設定'!$D$11,0)))</x:f>
        <x:v>8.3</x:v>
      </x:c>
      <x:c r="L178" s="190" t="n">
        <x:f>H178*J178</x:f>
        <x:v>7222.368101155507</x:v>
      </x:c>
      <x:c r="M178" s="190" t="n">
        <x:f>I178*K178</x:f>
        <x:v>2235.02143909085</x:v>
      </x:c>
      <x:c r="N178" s="190" t="n">
        <x:f>L178+M178</x:f>
        <x:v>9457.389540246357</x:v>
      </x:c>
      <x:c r="O178" s="196" t="n">
        <x:f>F178-H178-I178</x:f>
        <x:v>0</x:v>
      </x:c>
    </x:row>
    <x:row r="179">
      <x:c r="A179" s="20" t="n">
        <x:v>15</x:v>
      </x:c>
      <x:c r="B179" s="20" t="n">
        <x:v>7</x:v>
      </x:c>
      <x:c r="C179" s="563" t="n">
        <x:f>'_計算月次'!$J$11</x:f>
        <x:v>476.0181638067866</x:v>
      </x:c>
      <x:c r="D179" s="563" t="n">
        <x:f>'_計算月次'!$K$11</x:f>
        <x:v>405</x:v>
      </x:c>
      <x:c r="E179" s="585" t="n">
        <x:f>(1-MAX(MIN('詳細設定'!$D$16,0.999999),0))^(A179-1)</x:f>
        <x:v>1</x:v>
      </x:c>
      <x:c r="F179" s="563" t="n">
        <x:f>MAX(C179*E179,0)</x:f>
        <x:v>476.0181638067866</x:v>
      </x:c>
      <x:c r="G179" s="563" t="n">
        <x:f>MAX(MIN('詳細設定'!$D$15,1),0)</x:f>
        <x:v>0.4</x:v>
      </x:c>
      <x:c r="H179" s="563" t="n">
        <x:f>MAX(MIN(F179*G179,D179),0)</x:f>
        <x:v>190.40726552271465</x:v>
      </x:c>
      <x:c r="I179" s="563" t="n">
        <x:f>MAX(F179-H179,0)</x:f>
        <x:v>285.61089828407194</x:v>
      </x:c>
      <x:c r="J179" s="185" t="n">
        <x:f>MAX('詳細設定'!$D$6,0)*(1+'詳細設定'!$D$21)^(A179-1)</x:f>
        <x:v>40.23159746331679</x:v>
      </x:c>
      <x:c r="K179" s="185" t="n">
        <x:f>IF(A179&lt;=MAX(MIN('詳細設定'!$D$8,20),0),MAX('詳細設定'!$D$7,0),IF(A179&lt;=MAX(MIN('詳細設定'!$D$10,20),0),MAX('詳細設定'!$D$9,0),MAX('詳細設定'!$D$11,0)))</x:f>
        <x:v>8.3</x:v>
      </x:c>
      <x:c r="L179" s="190" t="n">
        <x:f>H179*J179</x:f>
        <x:v>7660.388460600733</x:v>
      </x:c>
      <x:c r="M179" s="190" t="n">
        <x:f>I179*K179</x:f>
        <x:v>2370.5704557577974</x:v>
      </x:c>
      <x:c r="N179" s="190" t="n">
        <x:f>L179+M179</x:f>
        <x:v>10030.95891635853</x:v>
      </x:c>
      <x:c r="O179" s="196" t="n">
        <x:f>F179-H179-I179</x:f>
        <x:v>0</x:v>
      </x:c>
    </x:row>
    <x:row r="180">
      <x:c r="A180" s="20" t="n">
        <x:v>15</x:v>
      </x:c>
      <x:c r="B180" s="20" t="n">
        <x:v>8</x:v>
      </x:c>
      <x:c r="C180" s="563" t="n">
        <x:f>'_計算月次'!$J$12</x:f>
        <x:v>528.6548067323699</x:v>
      </x:c>
      <x:c r="D180" s="563" t="n">
        <x:f>'_計算月次'!$K$12</x:f>
        <x:v>450</x:v>
      </x:c>
      <x:c r="E180" s="585" t="n">
        <x:f>(1-MAX(MIN('詳細設定'!$D$16,0.999999),0))^(A180-1)</x:f>
        <x:v>1</x:v>
      </x:c>
      <x:c r="F180" s="563" t="n">
        <x:f>MAX(C180*E180,0)</x:f>
        <x:v>528.6548067323699</x:v>
      </x:c>
      <x:c r="G180" s="563" t="n">
        <x:f>MAX(MIN('詳細設定'!$D$15,1),0)</x:f>
        <x:v>0.4</x:v>
      </x:c>
      <x:c r="H180" s="563" t="n">
        <x:f>MAX(MIN(F180*G180,D180),0)</x:f>
        <x:v>211.46192269294798</x:v>
      </x:c>
      <x:c r="I180" s="563" t="n">
        <x:f>MAX(F180-H180,0)</x:f>
        <x:v>317.192884039422</x:v>
      </x:c>
      <x:c r="J180" s="185" t="n">
        <x:f>MAX('詳細設定'!$D$6,0)*(1+'詳細設定'!$D$21)^(A180-1)</x:f>
        <x:v>40.23159746331679</x:v>
      </x:c>
      <x:c r="K180" s="185" t="n">
        <x:f>IF(A180&lt;=MAX(MIN('詳細設定'!$D$8,20),0),MAX('詳細設定'!$D$7,0),IF(A180&lt;=MAX(MIN('詳細設定'!$D$10,20),0),MAX('詳細設定'!$D$9,0),MAX('詳細設定'!$D$11,0)))</x:f>
        <x:v>8.3</x:v>
      </x:c>
      <x:c r="L180" s="190" t="n">
        <x:f>H180*J180</x:f>
        <x:v>8507.450952601697</x:v>
      </x:c>
      <x:c r="M180" s="190" t="n">
        <x:f>I180*K180</x:f>
        <x:v>2632.7009375272028</x:v>
      </x:c>
      <x:c r="N180" s="190" t="n">
        <x:f>L180+M180</x:f>
        <x:v>11140.1518901289</x:v>
      </x:c>
      <x:c r="O180" s="196" t="n">
        <x:f>F180-H180-I180</x:f>
        <x:v>0</x:v>
      </x:c>
    </x:row>
    <x:row r="181">
      <x:c r="A181" s="20" t="n">
        <x:v>15</x:v>
      </x:c>
      <x:c r="B181" s="20" t="n">
        <x:v>9</x:v>
      </x:c>
      <x:c r="C181" s="563" t="n">
        <x:f>'_計算月次'!$J$13</x:f>
        <x:v>436.37734765103465</x:v>
      </x:c>
      <x:c r="D181" s="563" t="n">
        <x:f>'_計算月次'!$K$13</x:f>
        <x:v>360</x:v>
      </x:c>
      <x:c r="E181" s="585" t="n">
        <x:f>(1-MAX(MIN('詳細設定'!$D$16,0.999999),0))^(A181-1)</x:f>
        <x:v>1</x:v>
      </x:c>
      <x:c r="F181" s="563" t="n">
        <x:f>MAX(C181*E181,0)</x:f>
        <x:v>436.37734765103465</x:v>
      </x:c>
      <x:c r="G181" s="563" t="n">
        <x:f>MAX(MIN('詳細設定'!$D$15,1),0)</x:f>
        <x:v>0.4</x:v>
      </x:c>
      <x:c r="H181" s="563" t="n">
        <x:f>MAX(MIN(F181*G181,D181),0)</x:f>
        <x:v>174.55093906041387</x:v>
      </x:c>
      <x:c r="I181" s="563" t="n">
        <x:f>MAX(F181-H181,0)</x:f>
        <x:v>261.82640859062076</x:v>
      </x:c>
      <x:c r="J181" s="185" t="n">
        <x:f>MAX('詳細設定'!$D$6,0)*(1+'詳細設定'!$D$21)^(A181-1)</x:f>
        <x:v>40.23159746331679</x:v>
      </x:c>
      <x:c r="K181" s="185" t="n">
        <x:f>IF(A181&lt;=MAX(MIN('詳細設定'!$D$8,20),0),MAX('詳細設定'!$D$7,0),IF(A181&lt;=MAX(MIN('詳細設定'!$D$10,20),0),MAX('詳細設定'!$D$9,0),MAX('詳細設定'!$D$11,0)))</x:f>
        <x:v>8.3</x:v>
      </x:c>
      <x:c r="L181" s="190" t="n">
        <x:f>H181*J181</x:f>
        <x:v>7022.46311712251</x:v>
      </x:c>
      <x:c r="M181" s="190" t="n">
        <x:f>I181*K181</x:f>
        <x:v>2173.1591913021525</x:v>
      </x:c>
      <x:c r="N181" s="190" t="n">
        <x:f>L181+M181</x:f>
        <x:v>9195.622308424663</x:v>
      </x:c>
      <x:c r="O181" s="196" t="n">
        <x:f>F181-H181-I181</x:f>
        <x:v>0</x:v>
      </x:c>
    </x:row>
    <x:row r="182">
      <x:c r="A182" s="20" t="n">
        <x:v>15</x:v>
      </x:c>
      <x:c r="B182" s="20" t="n">
        <x:v>10</x:v>
      </x:c>
      <x:c r="C182" s="563" t="n">
        <x:f>'_計算月次'!$J$14</x:f>
        <x:v>408.8269849869007</x:v>
      </x:c>
      <x:c r="D182" s="563" t="n">
        <x:f>'_計算月次'!$K$14</x:f>
        <x:v>315.00000000000006</x:v>
      </x:c>
      <x:c r="E182" s="585" t="n">
        <x:f>(1-MAX(MIN('詳細設定'!$D$16,0.999999),0))^(A182-1)</x:f>
        <x:v>1</x:v>
      </x:c>
      <x:c r="F182" s="563" t="n">
        <x:f>MAX(C182*E182,0)</x:f>
        <x:v>408.8269849869007</x:v>
      </x:c>
      <x:c r="G182" s="563" t="n">
        <x:f>MAX(MIN('詳細設定'!$D$15,1),0)</x:f>
        <x:v>0.4</x:v>
      </x:c>
      <x:c r="H182" s="563" t="n">
        <x:f>MAX(MIN(F182*G182,D182),0)</x:f>
        <x:v>163.5307939947603</x:v>
      </x:c>
      <x:c r="I182" s="563" t="n">
        <x:f>MAX(F182-H182,0)</x:f>
        <x:v>245.2961909921404</x:v>
      </x:c>
      <x:c r="J182" s="185" t="n">
        <x:f>MAX('詳細設定'!$D$6,0)*(1+'詳細設定'!$D$21)^(A182-1)</x:f>
        <x:v>40.23159746331679</x:v>
      </x:c>
      <x:c r="K182" s="185" t="n">
        <x:f>IF(A182&lt;=MAX(MIN('詳細設定'!$D$8,20),0),MAX('詳細設定'!$D$7,0),IF(A182&lt;=MAX(MIN('詳細設定'!$D$10,20),0),MAX('詳細設定'!$D$9,0),MAX('詳細設定'!$D$11,0)))</x:f>
        <x:v>8.3</x:v>
      </x:c>
      <x:c r="L182" s="190" t="n">
        <x:f>H182*J182</x:f>
        <x:v>6579.105076853779</x:v>
      </x:c>
      <x:c r="M182" s="190" t="n">
        <x:f>I182*K182</x:f>
        <x:v>2035.9583852347655</x:v>
      </x:c>
      <x:c r="N182" s="190" t="n">
        <x:f>L182+M182</x:f>
        <x:v>8615.063462088545</x:v>
      </x:c>
      <x:c r="O182" s="196" t="n">
        <x:f>F182-H182-I182</x:f>
        <x:v>0</x:v>
      </x:c>
    </x:row>
    <x:row r="183">
      <x:c r="A183" s="20" t="n">
        <x:v>15</x:v>
      </x:c>
      <x:c r="B183" s="20" t="n">
        <x:v>11</x:v>
      </x:c>
      <x:c r="C183" s="563" t="n">
        <x:f>'_計算月次'!$J$15</x:f>
        <x:v>398.45169764745054</x:v>
      </x:c>
      <x:c r="D183" s="563" t="n">
        <x:f>'_計算月次'!$K$15</x:f>
        <x:v>360</x:v>
      </x:c>
      <x:c r="E183" s="585" t="n">
        <x:f>(1-MAX(MIN('詳細設定'!$D$16,0.999999),0))^(A183-1)</x:f>
        <x:v>1</x:v>
      </x:c>
      <x:c r="F183" s="563" t="n">
        <x:f>MAX(C183*E183,0)</x:f>
        <x:v>398.45169764745054</x:v>
      </x:c>
      <x:c r="G183" s="563" t="n">
        <x:f>MAX(MIN('詳細設定'!$D$15,1),0)</x:f>
        <x:v>0.4</x:v>
      </x:c>
      <x:c r="H183" s="563" t="n">
        <x:f>MAX(MIN(F183*G183,D183),0)</x:f>
        <x:v>159.38067905898023</x:v>
      </x:c>
      <x:c r="I183" s="563" t="n">
        <x:f>MAX(F183-H183,0)</x:f>
        <x:v>239.0710185884703</x:v>
      </x:c>
      <x:c r="J183" s="185" t="n">
        <x:f>MAX('詳細設定'!$D$6,0)*(1+'詳細設定'!$D$21)^(A183-1)</x:f>
        <x:v>40.23159746331679</x:v>
      </x:c>
      <x:c r="K183" s="185" t="n">
        <x:f>IF(A183&lt;=MAX(MIN('詳細設定'!$D$8,20),0),MAX('詳細設定'!$D$7,0),IF(A183&lt;=MAX(MIN('詳細設定'!$D$10,20),0),MAX('詳細設定'!$D$9,0),MAX('詳細設定'!$D$11,0)))</x:f>
        <x:v>8.3</x:v>
      </x:c>
      <x:c r="L183" s="190" t="n">
        <x:f>H183*J183</x:f>
        <x:v>6412.139323330976</x:v>
      </x:c>
      <x:c r="M183" s="190" t="n">
        <x:f>I183*K183</x:f>
        <x:v>1984.2894542843037</x:v>
      </x:c>
      <x:c r="N183" s="190" t="n">
        <x:f>L183+M183</x:f>
        <x:v>8396.42877761528</x:v>
      </x:c>
      <x:c r="O183" s="196" t="n">
        <x:f>F183-H183-I183</x:f>
        <x:v>0</x:v>
      </x:c>
    </x:row>
    <x:row r="184">
      <x:c r="A184" s="20" t="n">
        <x:v>15</x:v>
      </x:c>
      <x:c r="B184" s="20" t="n">
        <x:v>12</x:v>
      </x:c>
      <x:c r="C184" s="563" t="n">
        <x:f>'_計算月次'!$J$16</x:f>
        <x:v>443.97248688000184</x:v>
      </x:c>
      <x:c r="D184" s="563" t="n">
        <x:f>'_計算月次'!$K$16</x:f>
        <x:v>405</x:v>
      </x:c>
      <x:c r="E184" s="585" t="n">
        <x:f>(1-MAX(MIN('詳細設定'!$D$16,0.999999),0))^(A184-1)</x:f>
        <x:v>1</x:v>
      </x:c>
      <x:c r="F184" s="563" t="n">
        <x:f>MAX(C184*E184,0)</x:f>
        <x:v>443.97248688000184</x:v>
      </x:c>
      <x:c r="G184" s="563" t="n">
        <x:f>MAX(MIN('詳細設定'!$D$15,1),0)</x:f>
        <x:v>0.4</x:v>
      </x:c>
      <x:c r="H184" s="563" t="n">
        <x:f>MAX(MIN(F184*G184,D184),0)</x:f>
        <x:v>177.58899475200076</x:v>
      </x:c>
      <x:c r="I184" s="563" t="n">
        <x:f>MAX(F184-H184,0)</x:f>
        <x:v>266.3834921280011</x:v>
      </x:c>
      <x:c r="J184" s="185" t="n">
        <x:f>MAX('詳細設定'!$D$6,0)*(1+'詳細設定'!$D$21)^(A184-1)</x:f>
        <x:v>40.23159746331679</x:v>
      </x:c>
      <x:c r="K184" s="185" t="n">
        <x:f>IF(A184&lt;=MAX(MIN('詳細設定'!$D$8,20),0),MAX('詳細設定'!$D$7,0),IF(A184&lt;=MAX(MIN('詳細設定'!$D$10,20),0),MAX('詳細設定'!$D$9,0),MAX('詳細設定'!$D$11,0)))</x:f>
        <x:v>8.3</x:v>
      </x:c>
      <x:c r="L184" s="190" t="n">
        <x:f>H184*J184</x:f>
        <x:v>7144.688950777572</x:v>
      </x:c>
      <x:c r="M184" s="190" t="n">
        <x:f>I184*K184</x:f>
        <x:v>2210.9829846624093</x:v>
      </x:c>
      <x:c r="N184" s="190" t="n">
        <x:f>L184+M184</x:f>
        <x:v>9355.671935439981</x:v>
      </x:c>
      <x:c r="O184" s="196" t="n">
        <x:f>F184-H184-I184</x:f>
        <x:v>0</x:v>
      </x:c>
    </x:row>
    <x:row r="185">
      <x:c r="A185" s="20" t="n">
        <x:v>16</x:v>
      </x:c>
      <x:c r="B185" s="20" t="n">
        <x:v>1</x:v>
      </x:c>
      <x:c r="C185" s="563" t="n">
        <x:f>'_計算月次'!$J$5</x:f>
        <x:v>502.4147595742038</x:v>
      </x:c>
      <x:c r="D185" s="563" t="n">
        <x:f>'_計算月次'!$K$5</x:f>
        <x:v>450</x:v>
      </x:c>
      <x:c r="E185" s="585" t="n">
        <x:f>(1-MAX(MIN('詳細設定'!$D$16,0.999999),0))^(A185-1)</x:f>
        <x:v>1</x:v>
      </x:c>
      <x:c r="F185" s="563" t="n">
        <x:f>MAX(C185*E185,0)</x:f>
        <x:v>502.4147595742038</x:v>
      </x:c>
      <x:c r="G185" s="563" t="n">
        <x:f>MAX(MIN('詳細設定'!$D$15,1),0)</x:f>
        <x:v>0.4</x:v>
      </x:c>
      <x:c r="H185" s="563" t="n">
        <x:f>MAX(MIN(F185*G185,D185),0)</x:f>
        <x:v>200.96590382968154</x:v>
      </x:c>
      <x:c r="I185" s="563" t="n">
        <x:f>MAX(F185-H185,0)</x:f>
        <x:v>301.44885574452223</x:v>
      </x:c>
      <x:c r="J185" s="185" t="n">
        <x:f>MAX('詳細設定'!$D$6,0)*(1+'詳細設定'!$D$21)^(A185-1)</x:f>
        <x:v>40.63391343794996</x:v>
      </x:c>
      <x:c r="K185" s="185" t="n">
        <x:f>IF(A185&lt;=MAX(MIN('詳細設定'!$D$8,20),0),MAX('詳細設定'!$D$7,0),IF(A185&lt;=MAX(MIN('詳細設定'!$D$10,20),0),MAX('詳細設定'!$D$9,0),MAX('詳細設定'!$D$11,0)))</x:f>
        <x:v>8.3</x:v>
      </x:c>
      <x:c r="L185" s="190" t="n">
        <x:f>H185*J185</x:f>
        <x:v>8166.031140194656</x:v>
      </x:c>
      <x:c r="M185" s="190" t="n">
        <x:f>I185*K185</x:f>
        <x:v>2502.025502679535</x:v>
      </x:c>
      <x:c r="N185" s="190" t="n">
        <x:f>L185+M185</x:f>
        <x:v>10668.056642874191</x:v>
      </x:c>
      <x:c r="O185" s="196" t="n">
        <x:f>F185-H185-I185</x:f>
        <x:v>0</x:v>
      </x:c>
    </x:row>
    <x:row r="186">
      <x:c r="A186" s="20" t="n">
        <x:v>16</x:v>
      </x:c>
      <x:c r="B186" s="20" t="n">
        <x:v>2</x:v>
      </x:c>
      <x:c r="C186" s="563" t="n">
        <x:f>'_計算月次'!$J$6</x:f>
        <x:v>472.4508339500229</x:v>
      </x:c>
      <x:c r="D186" s="563" t="n">
        <x:f>'_計算月次'!$K$6</x:f>
        <x:v>405</x:v>
      </x:c>
      <x:c r="E186" s="585" t="n">
        <x:f>(1-MAX(MIN('詳細設定'!$D$16,0.999999),0))^(A186-1)</x:f>
        <x:v>1</x:v>
      </x:c>
      <x:c r="F186" s="563" t="n">
        <x:f>MAX(C186*E186,0)</x:f>
        <x:v>472.4508339500229</x:v>
      </x:c>
      <x:c r="G186" s="563" t="n">
        <x:f>MAX(MIN('詳細設定'!$D$15,1),0)</x:f>
        <x:v>0.4</x:v>
      </x:c>
      <x:c r="H186" s="563" t="n">
        <x:f>MAX(MIN(F186*G186,D186),0)</x:f>
        <x:v>188.9803335800092</x:v>
      </x:c>
      <x:c r="I186" s="563" t="n">
        <x:f>MAX(F186-H186,0)</x:f>
        <x:v>283.4705003700137</x:v>
      </x:c>
      <x:c r="J186" s="185" t="n">
        <x:f>MAX('詳細設定'!$D$6,0)*(1+'詳細設定'!$D$21)^(A186-1)</x:f>
        <x:v>40.63391343794996</x:v>
      </x:c>
      <x:c r="K186" s="185" t="n">
        <x:f>IF(A186&lt;=MAX(MIN('詳細設定'!$D$8,20),0),MAX('詳細設定'!$D$7,0),IF(A186&lt;=MAX(MIN('詳細設定'!$D$10,20),0),MAX('詳細設定'!$D$9,0),MAX('詳細設定'!$D$11,0)))</x:f>
        <x:v>8.3</x:v>
      </x:c>
      <x:c r="L186" s="190" t="n">
        <x:f>H186*J186</x:f>
        <x:v>7679.010516165001</x:v>
      </x:c>
      <x:c r="M186" s="190" t="n">
        <x:f>I186*K186</x:f>
        <x:v>2352.805153071114</x:v>
      </x:c>
      <x:c r="N186" s="190" t="n">
        <x:f>L186+M186</x:f>
        <x:v>10031.815669236115</x:v>
      </x:c>
      <x:c r="O186" s="196" t="n">
        <x:f>F186-H186-I186</x:f>
        <x:v>0</x:v>
      </x:c>
    </x:row>
    <x:row r="187">
      <x:c r="A187" s="20" t="n">
        <x:v>16</x:v>
      </x:c>
      <x:c r="B187" s="20" t="n">
        <x:v>3</x:v>
      </x:c>
      <x:c r="C187" s="563" t="n">
        <x:f>'_計算月次'!$J$7</x:f>
        <x:v>548.3418864753118</x:v>
      </x:c>
      <x:c r="D187" s="563" t="n">
        <x:f>'_計算月次'!$K$7</x:f>
        <x:v>360</x:v>
      </x:c>
      <x:c r="E187" s="585" t="n">
        <x:f>(1-MAX(MIN('詳細設定'!$D$16,0.999999),0))^(A187-1)</x:f>
        <x:v>1</x:v>
      </x:c>
      <x:c r="F187" s="563" t="n">
        <x:f>MAX(C187*E187,0)</x:f>
        <x:v>548.3418864753118</x:v>
      </x:c>
      <x:c r="G187" s="563" t="n">
        <x:f>MAX(MIN('詳細設定'!$D$15,1),0)</x:f>
        <x:v>0.4</x:v>
      </x:c>
      <x:c r="H187" s="563" t="n">
        <x:f>MAX(MIN(F187*G187,D187),0)</x:f>
        <x:v>219.3367545901247</x:v>
      </x:c>
      <x:c r="I187" s="563" t="n">
        <x:f>MAX(F187-H187,0)</x:f>
        <x:v>329.00513188518704</x:v>
      </x:c>
      <x:c r="J187" s="185" t="n">
        <x:f>MAX('詳細設定'!$D$6,0)*(1+'詳細設定'!$D$21)^(A187-1)</x:f>
        <x:v>40.63391343794996</x:v>
      </x:c>
      <x:c r="K187" s="185" t="n">
        <x:f>IF(A187&lt;=MAX(MIN('詳細設定'!$D$8,20),0),MAX('詳細設定'!$D$7,0),IF(A187&lt;=MAX(MIN('詳細設定'!$D$10,20),0),MAX('詳細設定'!$D$9,0),MAX('詳細設定'!$D$11,0)))</x:f>
        <x:v>8.3</x:v>
      </x:c>
      <x:c r="L187" s="190" t="n">
        <x:f>H187*J187</x:f>
        <x:v>8912.510699776001</x:v>
      </x:c>
      <x:c r="M187" s="190" t="n">
        <x:f>I187*K187</x:f>
        <x:v>2730.7425946470526</x:v>
      </x:c>
      <x:c r="N187" s="190" t="n">
        <x:f>L187+M187</x:f>
        <x:v>11643.253294423053</x:v>
      </x:c>
      <x:c r="O187" s="196" t="n">
        <x:f>F187-H187-I187</x:f>
        <x:v>0</x:v>
      </x:c>
    </x:row>
    <x:row r="188">
      <x:c r="A188" s="20" t="n">
        <x:v>16</x:v>
      </x:c>
      <x:c r="B188" s="20" t="n">
        <x:v>4</x:v>
      </x:c>
      <x:c r="C188" s="563" t="n">
        <x:f>'_計算月次'!$J$8</x:f>
        <x:v>548.3944393749554</x:v>
      </x:c>
      <x:c r="D188" s="563" t="n">
        <x:f>'_計算月次'!$K$8</x:f>
        <x:v>315.00000000000006</x:v>
      </x:c>
      <x:c r="E188" s="585" t="n">
        <x:f>(1-MAX(MIN('詳細設定'!$D$16,0.999999),0))^(A188-1)</x:f>
        <x:v>1</x:v>
      </x:c>
      <x:c r="F188" s="563" t="n">
        <x:f>MAX(C188*E188,0)</x:f>
        <x:v>548.3944393749554</x:v>
      </x:c>
      <x:c r="G188" s="563" t="n">
        <x:f>MAX(MIN('詳細設定'!$D$15,1),0)</x:f>
        <x:v>0.4</x:v>
      </x:c>
      <x:c r="H188" s="563" t="n">
        <x:f>MAX(MIN(F188*G188,D188),0)</x:f>
        <x:v>219.35777574998215</x:v>
      </x:c>
      <x:c r="I188" s="563" t="n">
        <x:f>MAX(F188-H188,0)</x:f>
        <x:v>329.03666362497324</x:v>
      </x:c>
      <x:c r="J188" s="185" t="n">
        <x:f>MAX('詳細設定'!$D$6,0)*(1+'詳細設定'!$D$21)^(A188-1)</x:f>
        <x:v>40.63391343794996</x:v>
      </x:c>
      <x:c r="K188" s="185" t="n">
        <x:f>IF(A188&lt;=MAX(MIN('詳細設定'!$D$8,20),0),MAX('詳細設定'!$D$7,0),IF(A188&lt;=MAX(MIN('詳細設定'!$D$10,20),0),MAX('詳細設定'!$D$9,0),MAX('詳細設定'!$D$11,0)))</x:f>
        <x:v>8.3</x:v>
      </x:c>
      <x:c r="L188" s="190" t="n">
        <x:f>H188*J188</x:f>
        <x:v>8913.364871766013</x:v>
      </x:c>
      <x:c r="M188" s="190" t="n">
        <x:f>I188*K188</x:f>
        <x:v>2731.0043080872783</x:v>
      </x:c>
      <x:c r="N188" s="190" t="n">
        <x:f>L188+M188</x:f>
        <x:v>11644.369179853291</x:v>
      </x:c>
      <x:c r="O188" s="196" t="n">
        <x:f>F188-H188-I188</x:f>
        <x:v>0</x:v>
      </x:c>
    </x:row>
    <x:row r="189">
      <x:c r="A189" s="20" t="n">
        <x:v>16</x:v>
      </x:c>
      <x:c r="B189" s="20" t="n">
        <x:v>5</x:v>
      </x:c>
      <x:c r="C189" s="563" t="n">
        <x:f>'_計算月次'!$J$9</x:f>
        <x:v>552.2367574934775</x:v>
      </x:c>
      <x:c r="D189" s="563" t="n">
        <x:f>'_計算月次'!$K$9</x:f>
        <x:v>315.00000000000006</x:v>
      </x:c>
      <x:c r="E189" s="585" t="n">
        <x:f>(1-MAX(MIN('詳細設定'!$D$16,0.999999),0))^(A189-1)</x:f>
        <x:v>1</x:v>
      </x:c>
      <x:c r="F189" s="563" t="n">
        <x:f>MAX(C189*E189,0)</x:f>
        <x:v>552.2367574934775</x:v>
      </x:c>
      <x:c r="G189" s="563" t="n">
        <x:f>MAX(MIN('詳細設定'!$D$15,1),0)</x:f>
        <x:v>0.4</x:v>
      </x:c>
      <x:c r="H189" s="563" t="n">
        <x:f>MAX(MIN(F189*G189,D189),0)</x:f>
        <x:v>220.89470299739102</x:v>
      </x:c>
      <x:c r="I189" s="563" t="n">
        <x:f>MAX(F189-H189,0)</x:f>
        <x:v>331.34205449608646</x:v>
      </x:c>
      <x:c r="J189" s="185" t="n">
        <x:f>MAX('詳細設定'!$D$6,0)*(1+'詳細設定'!$D$21)^(A189-1)</x:f>
        <x:v>40.63391343794996</x:v>
      </x:c>
      <x:c r="K189" s="185" t="n">
        <x:f>IF(A189&lt;=MAX(MIN('詳細設定'!$D$8,20),0),MAX('詳細設定'!$D$7,0),IF(A189&lt;=MAX(MIN('詳細設定'!$D$10,20),0),MAX('詳細設定'!$D$9,0),MAX('詳細設定'!$D$11,0)))</x:f>
        <x:v>8.3</x:v>
      </x:c>
      <x:c r="L189" s="190" t="n">
        <x:f>H189*J189</x:f>
        <x:v>8975.816240497652</x:v>
      </x:c>
      <x:c r="M189" s="190" t="n">
        <x:f>I189*K189</x:f>
        <x:v>2750.139052317518</x:v>
      </x:c>
      <x:c r="N189" s="190" t="n">
        <x:f>L189+M189</x:f>
        <x:v>11725.95529281517</x:v>
      </x:c>
      <x:c r="O189" s="196" t="n">
        <x:f>F189-H189-I189</x:f>
        <x:v>0</x:v>
      </x:c>
    </x:row>
    <x:row r="190">
      <x:c r="A190" s="20" t="n">
        <x:v>16</x:v>
      </x:c>
      <x:c r="B190" s="20" t="n">
        <x:v>6</x:v>
      </x:c>
      <x:c r="C190" s="563" t="n">
        <x:f>'_計算月次'!$J$10</x:f>
        <x:v>448.7994857612148</x:v>
      </x:c>
      <x:c r="D190" s="563" t="n">
        <x:f>'_計算月次'!$K$10</x:f>
        <x:v>360</x:v>
      </x:c>
      <x:c r="E190" s="585" t="n">
        <x:f>(1-MAX(MIN('詳細設定'!$D$16,0.999999),0))^(A190-1)</x:f>
        <x:v>1</x:v>
      </x:c>
      <x:c r="F190" s="563" t="n">
        <x:f>MAX(C190*E190,0)</x:f>
        <x:v>448.7994857612148</x:v>
      </x:c>
      <x:c r="G190" s="563" t="n">
        <x:f>MAX(MIN('詳細設定'!$D$15,1),0)</x:f>
        <x:v>0.4</x:v>
      </x:c>
      <x:c r="H190" s="563" t="n">
        <x:f>MAX(MIN(F190*G190,D190),0)</x:f>
        <x:v>179.5197943044859</x:v>
      </x:c>
      <x:c r="I190" s="563" t="n">
        <x:f>MAX(F190-H190,0)</x:f>
        <x:v>269.27969145672887</x:v>
      </x:c>
      <x:c r="J190" s="185" t="n">
        <x:f>MAX('詳細設定'!$D$6,0)*(1+'詳細設定'!$D$21)^(A190-1)</x:f>
        <x:v>40.63391343794996</x:v>
      </x:c>
      <x:c r="K190" s="185" t="n">
        <x:f>IF(A190&lt;=MAX(MIN('詳細設定'!$D$8,20),0),MAX('詳細設定'!$D$7,0),IF(A190&lt;=MAX(MIN('詳細設定'!$D$10,20),0),MAX('詳細設定'!$D$9,0),MAX('詳細設定'!$D$11,0)))</x:f>
        <x:v>8.3</x:v>
      </x:c>
      <x:c r="L190" s="190" t="n">
        <x:f>H190*J190</x:f>
        <x:v>7294.591782167062</x:v>
      </x:c>
      <x:c r="M190" s="190" t="n">
        <x:f>I190*K190</x:f>
        <x:v>2235.02143909085</x:v>
      </x:c>
      <x:c r="N190" s="190" t="n">
        <x:f>L190+M190</x:f>
        <x:v>9529.613221257912</x:v>
      </x:c>
      <x:c r="O190" s="196" t="n">
        <x:f>F190-H190-I190</x:f>
        <x:v>0</x:v>
      </x:c>
    </x:row>
    <x:row r="191">
      <x:c r="A191" s="20" t="n">
        <x:v>16</x:v>
      </x:c>
      <x:c r="B191" s="20" t="n">
        <x:v>7</x:v>
      </x:c>
      <x:c r="C191" s="563" t="n">
        <x:f>'_計算月次'!$J$11</x:f>
        <x:v>476.0181638067866</x:v>
      </x:c>
      <x:c r="D191" s="563" t="n">
        <x:f>'_計算月次'!$K$11</x:f>
        <x:v>405</x:v>
      </x:c>
      <x:c r="E191" s="585" t="n">
        <x:f>(1-MAX(MIN('詳細設定'!$D$16,0.999999),0))^(A191-1)</x:f>
        <x:v>1</x:v>
      </x:c>
      <x:c r="F191" s="563" t="n">
        <x:f>MAX(C191*E191,0)</x:f>
        <x:v>476.0181638067866</x:v>
      </x:c>
      <x:c r="G191" s="563" t="n">
        <x:f>MAX(MIN('詳細設定'!$D$15,1),0)</x:f>
        <x:v>0.4</x:v>
      </x:c>
      <x:c r="H191" s="563" t="n">
        <x:f>MAX(MIN(F191*G191,D191),0)</x:f>
        <x:v>190.40726552271465</x:v>
      </x:c>
      <x:c r="I191" s="563" t="n">
        <x:f>MAX(F191-H191,0)</x:f>
        <x:v>285.61089828407194</x:v>
      </x:c>
      <x:c r="J191" s="185" t="n">
        <x:f>MAX('詳細設定'!$D$6,0)*(1+'詳細設定'!$D$21)^(A191-1)</x:f>
        <x:v>40.63391343794996</x:v>
      </x:c>
      <x:c r="K191" s="185" t="n">
        <x:f>IF(A191&lt;=MAX(MIN('詳細設定'!$D$8,20),0),MAX('詳細設定'!$D$7,0),IF(A191&lt;=MAX(MIN('詳細設定'!$D$10,20),0),MAX('詳細設定'!$D$9,0),MAX('詳細設定'!$D$11,0)))</x:f>
        <x:v>8.3</x:v>
      </x:c>
      <x:c r="L191" s="190" t="n">
        <x:f>H191*J191</x:f>
        <x:v>7736.9923452067405</x:v>
      </x:c>
      <x:c r="M191" s="190" t="n">
        <x:f>I191*K191</x:f>
        <x:v>2370.5704557577974</x:v>
      </x:c>
      <x:c r="N191" s="190" t="n">
        <x:f>L191+M191</x:f>
        <x:v>10107.562800964537</x:v>
      </x:c>
      <x:c r="O191" s="196" t="n">
        <x:f>F191-H191-I191</x:f>
        <x:v>0</x:v>
      </x:c>
    </x:row>
    <x:row r="192">
      <x:c r="A192" s="20" t="n">
        <x:v>16</x:v>
      </x:c>
      <x:c r="B192" s="20" t="n">
        <x:v>8</x:v>
      </x:c>
      <x:c r="C192" s="563" t="n">
        <x:f>'_計算月次'!$J$12</x:f>
        <x:v>528.6548067323699</x:v>
      </x:c>
      <x:c r="D192" s="563" t="n">
        <x:f>'_計算月次'!$K$12</x:f>
        <x:v>450</x:v>
      </x:c>
      <x:c r="E192" s="585" t="n">
        <x:f>(1-MAX(MIN('詳細設定'!$D$16,0.999999),0))^(A192-1)</x:f>
        <x:v>1</x:v>
      </x:c>
      <x:c r="F192" s="563" t="n">
        <x:f>MAX(C192*E192,0)</x:f>
        <x:v>528.6548067323699</x:v>
      </x:c>
      <x:c r="G192" s="563" t="n">
        <x:f>MAX(MIN('詳細設定'!$D$15,1),0)</x:f>
        <x:v>0.4</x:v>
      </x:c>
      <x:c r="H192" s="563" t="n">
        <x:f>MAX(MIN(F192*G192,D192),0)</x:f>
        <x:v>211.46192269294798</x:v>
      </x:c>
      <x:c r="I192" s="563" t="n">
        <x:f>MAX(F192-H192,0)</x:f>
        <x:v>317.192884039422</x:v>
      </x:c>
      <x:c r="J192" s="185" t="n">
        <x:f>MAX('詳細設定'!$D$6,0)*(1+'詳細設定'!$D$21)^(A192-1)</x:f>
        <x:v>40.63391343794996</x:v>
      </x:c>
      <x:c r="K192" s="185" t="n">
        <x:f>IF(A192&lt;=MAX(MIN('詳細設定'!$D$8,20),0),MAX('詳細設定'!$D$7,0),IF(A192&lt;=MAX(MIN('詳細設定'!$D$10,20),0),MAX('詳細設定'!$D$9,0),MAX('詳細設定'!$D$11,0)))</x:f>
        <x:v>8.3</x:v>
      </x:c>
      <x:c r="L192" s="190" t="n">
        <x:f>H192*J192</x:f>
        <x:v>8592.525462127714</x:v>
      </x:c>
      <x:c r="M192" s="190" t="n">
        <x:f>I192*K192</x:f>
        <x:v>2632.7009375272028</x:v>
      </x:c>
      <x:c r="N192" s="190" t="n">
        <x:f>L192+M192</x:f>
        <x:v>11225.226399654917</x:v>
      </x:c>
      <x:c r="O192" s="196" t="n">
        <x:f>F192-H192-I192</x:f>
        <x:v>0</x:v>
      </x:c>
    </x:row>
    <x:row r="193">
      <x:c r="A193" s="20" t="n">
        <x:v>16</x:v>
      </x:c>
      <x:c r="B193" s="20" t="n">
        <x:v>9</x:v>
      </x:c>
      <x:c r="C193" s="563" t="n">
        <x:f>'_計算月次'!$J$13</x:f>
        <x:v>436.37734765103465</x:v>
      </x:c>
      <x:c r="D193" s="563" t="n">
        <x:f>'_計算月次'!$K$13</x:f>
        <x:v>360</x:v>
      </x:c>
      <x:c r="E193" s="585" t="n">
        <x:f>(1-MAX(MIN('詳細設定'!$D$16,0.999999),0))^(A193-1)</x:f>
        <x:v>1</x:v>
      </x:c>
      <x:c r="F193" s="563" t="n">
        <x:f>MAX(C193*E193,0)</x:f>
        <x:v>436.37734765103465</x:v>
      </x:c>
      <x:c r="G193" s="563" t="n">
        <x:f>MAX(MIN('詳細設定'!$D$15,1),0)</x:f>
        <x:v>0.4</x:v>
      </x:c>
      <x:c r="H193" s="563" t="n">
        <x:f>MAX(MIN(F193*G193,D193),0)</x:f>
        <x:v>174.55093906041387</x:v>
      </x:c>
      <x:c r="I193" s="563" t="n">
        <x:f>MAX(F193-H193,0)</x:f>
        <x:v>261.82640859062076</x:v>
      </x:c>
      <x:c r="J193" s="185" t="n">
        <x:f>MAX('詳細設定'!$D$6,0)*(1+'詳細設定'!$D$21)^(A193-1)</x:f>
        <x:v>40.63391343794996</x:v>
      </x:c>
      <x:c r="K193" s="185" t="n">
        <x:f>IF(A193&lt;=MAX(MIN('詳細設定'!$D$8,20),0),MAX('詳細設定'!$D$7,0),IF(A193&lt;=MAX(MIN('詳細設定'!$D$10,20),0),MAX('詳細設定'!$D$9,0),MAX('詳細設定'!$D$11,0)))</x:f>
        <x:v>8.3</x:v>
      </x:c>
      <x:c r="L193" s="190" t="n">
        <x:f>H193*J193</x:f>
        <x:v>7092.687748293735</x:v>
      </x:c>
      <x:c r="M193" s="190" t="n">
        <x:f>I193*K193</x:f>
        <x:v>2173.1591913021525</x:v>
      </x:c>
      <x:c r="N193" s="190" t="n">
        <x:f>L193+M193</x:f>
        <x:v>9265.846939595887</x:v>
      </x:c>
      <x:c r="O193" s="196" t="n">
        <x:f>F193-H193-I193</x:f>
        <x:v>0</x:v>
      </x:c>
    </x:row>
    <x:row r="194">
      <x:c r="A194" s="20" t="n">
        <x:v>16</x:v>
      </x:c>
      <x:c r="B194" s="20" t="n">
        <x:v>10</x:v>
      </x:c>
      <x:c r="C194" s="563" t="n">
        <x:f>'_計算月次'!$J$14</x:f>
        <x:v>408.8269849869007</x:v>
      </x:c>
      <x:c r="D194" s="563" t="n">
        <x:f>'_計算月次'!$K$14</x:f>
        <x:v>315.00000000000006</x:v>
      </x:c>
      <x:c r="E194" s="585" t="n">
        <x:f>(1-MAX(MIN('詳細設定'!$D$16,0.999999),0))^(A194-1)</x:f>
        <x:v>1</x:v>
      </x:c>
      <x:c r="F194" s="563" t="n">
        <x:f>MAX(C194*E194,0)</x:f>
        <x:v>408.8269849869007</x:v>
      </x:c>
      <x:c r="G194" s="563" t="n">
        <x:f>MAX(MIN('詳細設定'!$D$15,1),0)</x:f>
        <x:v>0.4</x:v>
      </x:c>
      <x:c r="H194" s="563" t="n">
        <x:f>MAX(MIN(F194*G194,D194),0)</x:f>
        <x:v>163.5307939947603</x:v>
      </x:c>
      <x:c r="I194" s="563" t="n">
        <x:f>MAX(F194-H194,0)</x:f>
        <x:v>245.2961909921404</x:v>
      </x:c>
      <x:c r="J194" s="185" t="n">
        <x:f>MAX('詳細設定'!$D$6,0)*(1+'詳細設定'!$D$21)^(A194-1)</x:f>
        <x:v>40.63391343794996</x:v>
      </x:c>
      <x:c r="K194" s="185" t="n">
        <x:f>IF(A194&lt;=MAX(MIN('詳細設定'!$D$8,20),0),MAX('詳細設定'!$D$7,0),IF(A194&lt;=MAX(MIN('詳細設定'!$D$10,20),0),MAX('詳細設定'!$D$9,0),MAX('詳細設定'!$D$11,0)))</x:f>
        <x:v>8.3</x:v>
      </x:c>
      <x:c r="L194" s="190" t="n">
        <x:f>H194*J194</x:f>
        <x:v>6644.896127622317</x:v>
      </x:c>
      <x:c r="M194" s="190" t="n">
        <x:f>I194*K194</x:f>
        <x:v>2035.9583852347655</x:v>
      </x:c>
      <x:c r="N194" s="190" t="n">
        <x:f>L194+M194</x:f>
        <x:v>8680.854512857082</x:v>
      </x:c>
      <x:c r="O194" s="196" t="n">
        <x:f>F194-H194-I194</x:f>
        <x:v>0</x:v>
      </x:c>
    </x:row>
    <x:row r="195">
      <x:c r="A195" s="20" t="n">
        <x:v>16</x:v>
      </x:c>
      <x:c r="B195" s="20" t="n">
        <x:v>11</x:v>
      </x:c>
      <x:c r="C195" s="563" t="n">
        <x:f>'_計算月次'!$J$15</x:f>
        <x:v>398.45169764745054</x:v>
      </x:c>
      <x:c r="D195" s="563" t="n">
        <x:f>'_計算月次'!$K$15</x:f>
        <x:v>360</x:v>
      </x:c>
      <x:c r="E195" s="585" t="n">
        <x:f>(1-MAX(MIN('詳細設定'!$D$16,0.999999),0))^(A195-1)</x:f>
        <x:v>1</x:v>
      </x:c>
      <x:c r="F195" s="563" t="n">
        <x:f>MAX(C195*E195,0)</x:f>
        <x:v>398.45169764745054</x:v>
      </x:c>
      <x:c r="G195" s="563" t="n">
        <x:f>MAX(MIN('詳細設定'!$D$15,1),0)</x:f>
        <x:v>0.4</x:v>
      </x:c>
      <x:c r="H195" s="563" t="n">
        <x:f>MAX(MIN(F195*G195,D195),0)</x:f>
        <x:v>159.38067905898023</x:v>
      </x:c>
      <x:c r="I195" s="563" t="n">
        <x:f>MAX(F195-H195,0)</x:f>
        <x:v>239.0710185884703</x:v>
      </x:c>
      <x:c r="J195" s="185" t="n">
        <x:f>MAX('詳細設定'!$D$6,0)*(1+'詳細設定'!$D$21)^(A195-1)</x:f>
        <x:v>40.63391343794996</x:v>
      </x:c>
      <x:c r="K195" s="185" t="n">
        <x:f>IF(A195&lt;=MAX(MIN('詳細設定'!$D$8,20),0),MAX('詳細設定'!$D$7,0),IF(A195&lt;=MAX(MIN('詳細設定'!$D$10,20),0),MAX('詳細設定'!$D$9,0),MAX('詳細設定'!$D$11,0)))</x:f>
        <x:v>8.3</x:v>
      </x:c>
      <x:c r="L195" s="190" t="n">
        <x:f>H195*J195</x:f>
        <x:v>6476.260716564287</x:v>
      </x:c>
      <x:c r="M195" s="190" t="n">
        <x:f>I195*K195</x:f>
        <x:v>1984.2894542843037</x:v>
      </x:c>
      <x:c r="N195" s="190" t="n">
        <x:f>L195+M195</x:f>
        <x:v>8460.55017084859</x:v>
      </x:c>
      <x:c r="O195" s="196" t="n">
        <x:f>F195-H195-I195</x:f>
        <x:v>0</x:v>
      </x:c>
    </x:row>
    <x:row r="196">
      <x:c r="A196" s="20" t="n">
        <x:v>16</x:v>
      </x:c>
      <x:c r="B196" s="20" t="n">
        <x:v>12</x:v>
      </x:c>
      <x:c r="C196" s="563" t="n">
        <x:f>'_計算月次'!$J$16</x:f>
        <x:v>443.97248688000184</x:v>
      </x:c>
      <x:c r="D196" s="563" t="n">
        <x:f>'_計算月次'!$K$16</x:f>
        <x:v>405</x:v>
      </x:c>
      <x:c r="E196" s="585" t="n">
        <x:f>(1-MAX(MIN('詳細設定'!$D$16,0.999999),0))^(A196-1)</x:f>
        <x:v>1</x:v>
      </x:c>
      <x:c r="F196" s="563" t="n">
        <x:f>MAX(C196*E196,0)</x:f>
        <x:v>443.97248688000184</x:v>
      </x:c>
      <x:c r="G196" s="563" t="n">
        <x:f>MAX(MIN('詳細設定'!$D$15,1),0)</x:f>
        <x:v>0.4</x:v>
      </x:c>
      <x:c r="H196" s="563" t="n">
        <x:f>MAX(MIN(F196*G196,D196),0)</x:f>
        <x:v>177.58899475200076</x:v>
      </x:c>
      <x:c r="I196" s="563" t="n">
        <x:f>MAX(F196-H196,0)</x:f>
        <x:v>266.3834921280011</x:v>
      </x:c>
      <x:c r="J196" s="185" t="n">
        <x:f>MAX('詳細設定'!$D$6,0)*(1+'詳細設定'!$D$21)^(A196-1)</x:f>
        <x:v>40.63391343794996</x:v>
      </x:c>
      <x:c r="K196" s="185" t="n">
        <x:f>IF(A196&lt;=MAX(MIN('詳細設定'!$D$8,20),0),MAX('詳細設定'!$D$7,0),IF(A196&lt;=MAX(MIN('詳細設定'!$D$10,20),0),MAX('詳細設定'!$D$9,0),MAX('詳細設定'!$D$11,0)))</x:f>
        <x:v>8.3</x:v>
      </x:c>
      <x:c r="L196" s="190" t="n">
        <x:f>H196*J196</x:f>
        <x:v>7216.135840285348</x:v>
      </x:c>
      <x:c r="M196" s="190" t="n">
        <x:f>I196*K196</x:f>
        <x:v>2210.9829846624093</x:v>
      </x:c>
      <x:c r="N196" s="190" t="n">
        <x:f>L196+M196</x:f>
        <x:v>9427.118824947758</x:v>
      </x:c>
      <x:c r="O196" s="196" t="n">
        <x:f>F196-H196-I196</x:f>
        <x:v>0</x:v>
      </x:c>
    </x:row>
    <x:row r="197">
      <x:c r="A197" s="20" t="n">
        <x:v>17</x:v>
      </x:c>
      <x:c r="B197" s="20" t="n">
        <x:v>1</x:v>
      </x:c>
      <x:c r="C197" s="563" t="n">
        <x:f>'_計算月次'!$J$5</x:f>
        <x:v>502.4147595742038</x:v>
      </x:c>
      <x:c r="D197" s="563" t="n">
        <x:f>'_計算月次'!$K$5</x:f>
        <x:v>450</x:v>
      </x:c>
      <x:c r="E197" s="585" t="n">
        <x:f>(1-MAX(MIN('詳細設定'!$D$16,0.999999),0))^(A197-1)</x:f>
        <x:v>1</x:v>
      </x:c>
      <x:c r="F197" s="563" t="n">
        <x:f>MAX(C197*E197,0)</x:f>
        <x:v>502.4147595742038</x:v>
      </x:c>
      <x:c r="G197" s="563" t="n">
        <x:f>MAX(MIN('詳細設定'!$D$15,1),0)</x:f>
        <x:v>0.4</x:v>
      </x:c>
      <x:c r="H197" s="563" t="n">
        <x:f>MAX(MIN(F197*G197,D197),0)</x:f>
        <x:v>200.96590382968154</x:v>
      </x:c>
      <x:c r="I197" s="563" t="n">
        <x:f>MAX(F197-H197,0)</x:f>
        <x:v>301.44885574452223</x:v>
      </x:c>
      <x:c r="J197" s="185" t="n">
        <x:f>MAX('詳細設定'!$D$6,0)*(1+'詳細設定'!$D$21)^(A197-1)</x:f>
        <x:v>41.04025257232946</x:v>
      </x:c>
      <x:c r="K197" s="185" t="n">
        <x:f>IF(A197&lt;=MAX(MIN('詳細設定'!$D$8,20),0),MAX('詳細設定'!$D$7,0),IF(A197&lt;=MAX(MIN('詳細設定'!$D$10,20),0),MAX('詳細設定'!$D$9,0),MAX('詳細設定'!$D$11,0)))</x:f>
        <x:v>8.3</x:v>
      </x:c>
      <x:c r="L197" s="190" t="n">
        <x:f>H197*J197</x:f>
        <x:v>8247.691451596602</x:v>
      </x:c>
      <x:c r="M197" s="190" t="n">
        <x:f>I197*K197</x:f>
        <x:v>2502.025502679535</x:v>
      </x:c>
      <x:c r="N197" s="190" t="n">
        <x:f>L197+M197</x:f>
        <x:v>10749.716954276137</x:v>
      </x:c>
      <x:c r="O197" s="196" t="n">
        <x:f>F197-H197-I197</x:f>
        <x:v>0</x:v>
      </x:c>
    </x:row>
    <x:row r="198">
      <x:c r="A198" s="20" t="n">
        <x:v>17</x:v>
      </x:c>
      <x:c r="B198" s="20" t="n">
        <x:v>2</x:v>
      </x:c>
      <x:c r="C198" s="563" t="n">
        <x:f>'_計算月次'!$J$6</x:f>
        <x:v>472.4508339500229</x:v>
      </x:c>
      <x:c r="D198" s="563" t="n">
        <x:f>'_計算月次'!$K$6</x:f>
        <x:v>405</x:v>
      </x:c>
      <x:c r="E198" s="585" t="n">
        <x:f>(1-MAX(MIN('詳細設定'!$D$16,0.999999),0))^(A198-1)</x:f>
        <x:v>1</x:v>
      </x:c>
      <x:c r="F198" s="563" t="n">
        <x:f>MAX(C198*E198,0)</x:f>
        <x:v>472.4508339500229</x:v>
      </x:c>
      <x:c r="G198" s="563" t="n">
        <x:f>MAX(MIN('詳細設定'!$D$15,1),0)</x:f>
        <x:v>0.4</x:v>
      </x:c>
      <x:c r="H198" s="563" t="n">
        <x:f>MAX(MIN(F198*G198,D198),0)</x:f>
        <x:v>188.9803335800092</x:v>
      </x:c>
      <x:c r="I198" s="563" t="n">
        <x:f>MAX(F198-H198,0)</x:f>
        <x:v>283.4705003700137</x:v>
      </x:c>
      <x:c r="J198" s="185" t="n">
        <x:f>MAX('詳細設定'!$D$6,0)*(1+'詳細設定'!$D$21)^(A198-1)</x:f>
        <x:v>41.04025257232946</x:v>
      </x:c>
      <x:c r="K198" s="185" t="n">
        <x:f>IF(A198&lt;=MAX(MIN('詳細設定'!$D$8,20),0),MAX('詳細設定'!$D$7,0),IF(A198&lt;=MAX(MIN('詳細設定'!$D$10,20),0),MAX('詳細設定'!$D$9,0),MAX('詳細設定'!$D$11,0)))</x:f>
        <x:v>8.3</x:v>
      </x:c>
      <x:c r="L198" s="190" t="n">
        <x:f>H198*J198</x:f>
        <x:v>7755.800621326651</x:v>
      </x:c>
      <x:c r="M198" s="190" t="n">
        <x:f>I198*K198</x:f>
        <x:v>2352.805153071114</x:v>
      </x:c>
      <x:c r="N198" s="190" t="n">
        <x:f>L198+M198</x:f>
        <x:v>10108.605774397765</x:v>
      </x:c>
      <x:c r="O198" s="196" t="n">
        <x:f>F198-H198-I198</x:f>
        <x:v>0</x:v>
      </x:c>
    </x:row>
    <x:row r="199">
      <x:c r="A199" s="20" t="n">
        <x:v>17</x:v>
      </x:c>
      <x:c r="B199" s="20" t="n">
        <x:v>3</x:v>
      </x:c>
      <x:c r="C199" s="563" t="n">
        <x:f>'_計算月次'!$J$7</x:f>
        <x:v>548.3418864753118</x:v>
      </x:c>
      <x:c r="D199" s="563" t="n">
        <x:f>'_計算月次'!$K$7</x:f>
        <x:v>360</x:v>
      </x:c>
      <x:c r="E199" s="585" t="n">
        <x:f>(1-MAX(MIN('詳細設定'!$D$16,0.999999),0))^(A199-1)</x:f>
        <x:v>1</x:v>
      </x:c>
      <x:c r="F199" s="563" t="n">
        <x:f>MAX(C199*E199,0)</x:f>
        <x:v>548.3418864753118</x:v>
      </x:c>
      <x:c r="G199" s="563" t="n">
        <x:f>MAX(MIN('詳細設定'!$D$15,1),0)</x:f>
        <x:v>0.4</x:v>
      </x:c>
      <x:c r="H199" s="563" t="n">
        <x:f>MAX(MIN(F199*G199,D199),0)</x:f>
        <x:v>219.3367545901247</x:v>
      </x:c>
      <x:c r="I199" s="563" t="n">
        <x:f>MAX(F199-H199,0)</x:f>
        <x:v>329.00513188518704</x:v>
      </x:c>
      <x:c r="J199" s="185" t="n">
        <x:f>MAX('詳細設定'!$D$6,0)*(1+'詳細設定'!$D$21)^(A199-1)</x:f>
        <x:v>41.04025257232946</x:v>
      </x:c>
      <x:c r="K199" s="185" t="n">
        <x:f>IF(A199&lt;=MAX(MIN('詳細設定'!$D$8,20),0),MAX('詳細設定'!$D$7,0),IF(A199&lt;=MAX(MIN('詳細設定'!$D$10,20),0),MAX('詳細設定'!$D$9,0),MAX('詳細設定'!$D$11,0)))</x:f>
        <x:v>8.3</x:v>
      </x:c>
      <x:c r="L199" s="190" t="n">
        <x:f>H199*J199</x:f>
        <x:v>9001.63580677376</x:v>
      </x:c>
      <x:c r="M199" s="190" t="n">
        <x:f>I199*K199</x:f>
        <x:v>2730.7425946470526</x:v>
      </x:c>
      <x:c r="N199" s="190" t="n">
        <x:f>L199+M199</x:f>
        <x:v>11732.378401420812</x:v>
      </x:c>
      <x:c r="O199" s="196" t="n">
        <x:f>F199-H199-I199</x:f>
        <x:v>0</x:v>
      </x:c>
    </x:row>
    <x:row r="200">
      <x:c r="A200" s="20" t="n">
        <x:v>17</x:v>
      </x:c>
      <x:c r="B200" s="20" t="n">
        <x:v>4</x:v>
      </x:c>
      <x:c r="C200" s="563" t="n">
        <x:f>'_計算月次'!$J$8</x:f>
        <x:v>548.3944393749554</x:v>
      </x:c>
      <x:c r="D200" s="563" t="n">
        <x:f>'_計算月次'!$K$8</x:f>
        <x:v>315.00000000000006</x:v>
      </x:c>
      <x:c r="E200" s="585" t="n">
        <x:f>(1-MAX(MIN('詳細設定'!$D$16,0.999999),0))^(A200-1)</x:f>
        <x:v>1</x:v>
      </x:c>
      <x:c r="F200" s="563" t="n">
        <x:f>MAX(C200*E200,0)</x:f>
        <x:v>548.3944393749554</x:v>
      </x:c>
      <x:c r="G200" s="563" t="n">
        <x:f>MAX(MIN('詳細設定'!$D$15,1),0)</x:f>
        <x:v>0.4</x:v>
      </x:c>
      <x:c r="H200" s="563" t="n">
        <x:f>MAX(MIN(F200*G200,D200),0)</x:f>
        <x:v>219.35777574998215</x:v>
      </x:c>
      <x:c r="I200" s="563" t="n">
        <x:f>MAX(F200-H200,0)</x:f>
        <x:v>329.03666362497324</x:v>
      </x:c>
      <x:c r="J200" s="185" t="n">
        <x:f>MAX('詳細設定'!$D$6,0)*(1+'詳細設定'!$D$21)^(A200-1)</x:f>
        <x:v>41.04025257232946</x:v>
      </x:c>
      <x:c r="K200" s="185" t="n">
        <x:f>IF(A200&lt;=MAX(MIN('詳細設定'!$D$8,20),0),MAX('詳細設定'!$D$7,0),IF(A200&lt;=MAX(MIN('詳細設定'!$D$10,20),0),MAX('詳細設定'!$D$9,0),MAX('詳細設定'!$D$11,0)))</x:f>
        <x:v>8.3</x:v>
      </x:c>
      <x:c r="L200" s="190" t="n">
        <x:f>H200*J200</x:f>
        <x:v>9002.498520483674</x:v>
      </x:c>
      <x:c r="M200" s="190" t="n">
        <x:f>I200*K200</x:f>
        <x:v>2731.0043080872783</x:v>
      </x:c>
      <x:c r="N200" s="190" t="n">
        <x:f>L200+M200</x:f>
        <x:v>11733.502828570952</x:v>
      </x:c>
      <x:c r="O200" s="196" t="n">
        <x:f>F200-H200-I200</x:f>
        <x:v>0</x:v>
      </x:c>
    </x:row>
    <x:row r="201">
      <x:c r="A201" s="20" t="n">
        <x:v>17</x:v>
      </x:c>
      <x:c r="B201" s="20" t="n">
        <x:v>5</x:v>
      </x:c>
      <x:c r="C201" s="563" t="n">
        <x:f>'_計算月次'!$J$9</x:f>
        <x:v>552.2367574934775</x:v>
      </x:c>
      <x:c r="D201" s="563" t="n">
        <x:f>'_計算月次'!$K$9</x:f>
        <x:v>315.00000000000006</x:v>
      </x:c>
      <x:c r="E201" s="585" t="n">
        <x:f>(1-MAX(MIN('詳細設定'!$D$16,0.999999),0))^(A201-1)</x:f>
        <x:v>1</x:v>
      </x:c>
      <x:c r="F201" s="563" t="n">
        <x:f>MAX(C201*E201,0)</x:f>
        <x:v>552.2367574934775</x:v>
      </x:c>
      <x:c r="G201" s="563" t="n">
        <x:f>MAX(MIN('詳細設定'!$D$15,1),0)</x:f>
        <x:v>0.4</x:v>
      </x:c>
      <x:c r="H201" s="563" t="n">
        <x:f>MAX(MIN(F201*G201,D201),0)</x:f>
        <x:v>220.89470299739102</x:v>
      </x:c>
      <x:c r="I201" s="563" t="n">
        <x:f>MAX(F201-H201,0)</x:f>
        <x:v>331.34205449608646</x:v>
      </x:c>
      <x:c r="J201" s="185" t="n">
        <x:f>MAX('詳細設定'!$D$6,0)*(1+'詳細設定'!$D$21)^(A201-1)</x:f>
        <x:v>41.04025257232946</x:v>
      </x:c>
      <x:c r="K201" s="185" t="n">
        <x:f>IF(A201&lt;=MAX(MIN('詳細設定'!$D$8,20),0),MAX('詳細設定'!$D$7,0),IF(A201&lt;=MAX(MIN('詳細設定'!$D$10,20),0),MAX('詳細設定'!$D$9,0),MAX('詳細設定'!$D$11,0)))</x:f>
        <x:v>8.3</x:v>
      </x:c>
      <x:c r="L201" s="190" t="n">
        <x:f>H201*J201</x:f>
        <x:v>9065.574402902628</x:v>
      </x:c>
      <x:c r="M201" s="190" t="n">
        <x:f>I201*K201</x:f>
        <x:v>2750.139052317518</x:v>
      </x:c>
      <x:c r="N201" s="190" t="n">
        <x:f>L201+M201</x:f>
        <x:v>11815.713455220146</x:v>
      </x:c>
      <x:c r="O201" s="196" t="n">
        <x:f>F201-H201-I201</x:f>
        <x:v>0</x:v>
      </x:c>
    </x:row>
    <x:row r="202">
      <x:c r="A202" s="20" t="n">
        <x:v>17</x:v>
      </x:c>
      <x:c r="B202" s="20" t="n">
        <x:v>6</x:v>
      </x:c>
      <x:c r="C202" s="563" t="n">
        <x:f>'_計算月次'!$J$10</x:f>
        <x:v>448.7994857612148</x:v>
      </x:c>
      <x:c r="D202" s="563" t="n">
        <x:f>'_計算月次'!$K$10</x:f>
        <x:v>360</x:v>
      </x:c>
      <x:c r="E202" s="585" t="n">
        <x:f>(1-MAX(MIN('詳細設定'!$D$16,0.999999),0))^(A202-1)</x:f>
        <x:v>1</x:v>
      </x:c>
      <x:c r="F202" s="563" t="n">
        <x:f>MAX(C202*E202,0)</x:f>
        <x:v>448.7994857612148</x:v>
      </x:c>
      <x:c r="G202" s="563" t="n">
        <x:f>MAX(MIN('詳細設定'!$D$15,1),0)</x:f>
        <x:v>0.4</x:v>
      </x:c>
      <x:c r="H202" s="563" t="n">
        <x:f>MAX(MIN(F202*G202,D202),0)</x:f>
        <x:v>179.5197943044859</x:v>
      </x:c>
      <x:c r="I202" s="563" t="n">
        <x:f>MAX(F202-H202,0)</x:f>
        <x:v>269.27969145672887</x:v>
      </x:c>
      <x:c r="J202" s="185" t="n">
        <x:f>MAX('詳細設定'!$D$6,0)*(1+'詳細設定'!$D$21)^(A202-1)</x:f>
        <x:v>41.04025257232946</x:v>
      </x:c>
      <x:c r="K202" s="185" t="n">
        <x:f>IF(A202&lt;=MAX(MIN('詳細設定'!$D$8,20),0),MAX('詳細設定'!$D$7,0),IF(A202&lt;=MAX(MIN('詳細設定'!$D$10,20),0),MAX('詳細設定'!$D$9,0),MAX('詳細設定'!$D$11,0)))</x:f>
        <x:v>8.3</x:v>
      </x:c>
      <x:c r="L202" s="190" t="n">
        <x:f>H202*J202</x:f>
        <x:v>7367.537699988733</x:v>
      </x:c>
      <x:c r="M202" s="190" t="n">
        <x:f>I202*K202</x:f>
        <x:v>2235.02143909085</x:v>
      </x:c>
      <x:c r="N202" s="190" t="n">
        <x:f>L202+M202</x:f>
        <x:v>9602.559139079583</x:v>
      </x:c>
      <x:c r="O202" s="196" t="n">
        <x:f>F202-H202-I202</x:f>
        <x:v>0</x:v>
      </x:c>
    </x:row>
    <x:row r="203">
      <x:c r="A203" s="20" t="n">
        <x:v>17</x:v>
      </x:c>
      <x:c r="B203" s="20" t="n">
        <x:v>7</x:v>
      </x:c>
      <x:c r="C203" s="563" t="n">
        <x:f>'_計算月次'!$J$11</x:f>
        <x:v>476.0181638067866</x:v>
      </x:c>
      <x:c r="D203" s="563" t="n">
        <x:f>'_計算月次'!$K$11</x:f>
        <x:v>405</x:v>
      </x:c>
      <x:c r="E203" s="585" t="n">
        <x:f>(1-MAX(MIN('詳細設定'!$D$16,0.999999),0))^(A203-1)</x:f>
        <x:v>1</x:v>
      </x:c>
      <x:c r="F203" s="563" t="n">
        <x:f>MAX(C203*E203,0)</x:f>
        <x:v>476.0181638067866</x:v>
      </x:c>
      <x:c r="G203" s="563" t="n">
        <x:f>MAX(MIN('詳細設定'!$D$15,1),0)</x:f>
        <x:v>0.4</x:v>
      </x:c>
      <x:c r="H203" s="563" t="n">
        <x:f>MAX(MIN(F203*G203,D203),0)</x:f>
        <x:v>190.40726552271465</x:v>
      </x:c>
      <x:c r="I203" s="563" t="n">
        <x:f>MAX(F203-H203,0)</x:f>
        <x:v>285.61089828407194</x:v>
      </x:c>
      <x:c r="J203" s="185" t="n">
        <x:f>MAX('詳細設定'!$D$6,0)*(1+'詳細設定'!$D$21)^(A203-1)</x:f>
        <x:v>41.04025257232946</x:v>
      </x:c>
      <x:c r="K203" s="185" t="n">
        <x:f>IF(A203&lt;=MAX(MIN('詳細設定'!$D$8,20),0),MAX('詳細設定'!$D$7,0),IF(A203&lt;=MAX(MIN('詳細設定'!$D$10,20),0),MAX('詳細設定'!$D$9,0),MAX('詳細設定'!$D$11,0)))</x:f>
        <x:v>8.3</x:v>
      </x:c>
      <x:c r="L203" s="190" t="n">
        <x:f>H203*J203</x:f>
        <x:v>7814.362268658808</x:v>
      </x:c>
      <x:c r="M203" s="190" t="n">
        <x:f>I203*K203</x:f>
        <x:v>2370.5704557577974</x:v>
      </x:c>
      <x:c r="N203" s="190" t="n">
        <x:f>L203+M203</x:f>
        <x:v>10184.932724416605</x:v>
      </x:c>
      <x:c r="O203" s="196" t="n">
        <x:f>F203-H203-I203</x:f>
        <x:v>0</x:v>
      </x:c>
    </x:row>
    <x:row r="204">
      <x:c r="A204" s="20" t="n">
        <x:v>17</x:v>
      </x:c>
      <x:c r="B204" s="20" t="n">
        <x:v>8</x:v>
      </x:c>
      <x:c r="C204" s="563" t="n">
        <x:f>'_計算月次'!$J$12</x:f>
        <x:v>528.6548067323699</x:v>
      </x:c>
      <x:c r="D204" s="563" t="n">
        <x:f>'_計算月次'!$K$12</x:f>
        <x:v>450</x:v>
      </x:c>
      <x:c r="E204" s="585" t="n">
        <x:f>(1-MAX(MIN('詳細設定'!$D$16,0.999999),0))^(A204-1)</x:f>
        <x:v>1</x:v>
      </x:c>
      <x:c r="F204" s="563" t="n">
        <x:f>MAX(C204*E204,0)</x:f>
        <x:v>528.6548067323699</x:v>
      </x:c>
      <x:c r="G204" s="563" t="n">
        <x:f>MAX(MIN('詳細設定'!$D$15,1),0)</x:f>
        <x:v>0.4</x:v>
      </x:c>
      <x:c r="H204" s="563" t="n">
        <x:f>MAX(MIN(F204*G204,D204),0)</x:f>
        <x:v>211.46192269294798</x:v>
      </x:c>
      <x:c r="I204" s="563" t="n">
        <x:f>MAX(F204-H204,0)</x:f>
        <x:v>317.192884039422</x:v>
      </x:c>
      <x:c r="J204" s="185" t="n">
        <x:f>MAX('詳細設定'!$D$6,0)*(1+'詳細設定'!$D$21)^(A204-1)</x:f>
        <x:v>41.04025257232946</x:v>
      </x:c>
      <x:c r="K204" s="185" t="n">
        <x:f>IF(A204&lt;=MAX(MIN('詳細設定'!$D$8,20),0),MAX('詳細設定'!$D$7,0),IF(A204&lt;=MAX(MIN('詳細設定'!$D$10,20),0),MAX('詳細設定'!$D$9,0),MAX('詳細設定'!$D$11,0)))</x:f>
        <x:v>8.3</x:v>
      </x:c>
      <x:c r="L204" s="190" t="n">
        <x:f>H204*J204</x:f>
        <x:v>8678.450716748992</x:v>
      </x:c>
      <x:c r="M204" s="190" t="n">
        <x:f>I204*K204</x:f>
        <x:v>2632.7009375272028</x:v>
      </x:c>
      <x:c r="N204" s="190" t="n">
        <x:f>L204+M204</x:f>
        <x:v>11311.151654276195</x:v>
      </x:c>
      <x:c r="O204" s="196" t="n">
        <x:f>F204-H204-I204</x:f>
        <x:v>0</x:v>
      </x:c>
    </x:row>
    <x:row r="205">
      <x:c r="A205" s="20" t="n">
        <x:v>17</x:v>
      </x:c>
      <x:c r="B205" s="20" t="n">
        <x:v>9</x:v>
      </x:c>
      <x:c r="C205" s="563" t="n">
        <x:f>'_計算月次'!$J$13</x:f>
        <x:v>436.37734765103465</x:v>
      </x:c>
      <x:c r="D205" s="563" t="n">
        <x:f>'_計算月次'!$K$13</x:f>
        <x:v>360</x:v>
      </x:c>
      <x:c r="E205" s="585" t="n">
        <x:f>(1-MAX(MIN('詳細設定'!$D$16,0.999999),0))^(A205-1)</x:f>
        <x:v>1</x:v>
      </x:c>
      <x:c r="F205" s="563" t="n">
        <x:f>MAX(C205*E205,0)</x:f>
        <x:v>436.37734765103465</x:v>
      </x:c>
      <x:c r="G205" s="563" t="n">
        <x:f>MAX(MIN('詳細設定'!$D$15,1),0)</x:f>
        <x:v>0.4</x:v>
      </x:c>
      <x:c r="H205" s="563" t="n">
        <x:f>MAX(MIN(F205*G205,D205),0)</x:f>
        <x:v>174.55093906041387</x:v>
      </x:c>
      <x:c r="I205" s="563" t="n">
        <x:f>MAX(F205-H205,0)</x:f>
        <x:v>261.82640859062076</x:v>
      </x:c>
      <x:c r="J205" s="185" t="n">
        <x:f>MAX('詳細設定'!$D$6,0)*(1+'詳細設定'!$D$21)^(A205-1)</x:f>
        <x:v>41.04025257232946</x:v>
      </x:c>
      <x:c r="K205" s="185" t="n">
        <x:f>IF(A205&lt;=MAX(MIN('詳細設定'!$D$8,20),0),MAX('詳細設定'!$D$7,0),IF(A205&lt;=MAX(MIN('詳細設定'!$D$10,20),0),MAX('詳細設定'!$D$9,0),MAX('詳細設定'!$D$11,0)))</x:f>
        <x:v>8.3</x:v>
      </x:c>
      <x:c r="L205" s="190" t="n">
        <x:f>H205*J205</x:f>
        <x:v>7163.614625776672</x:v>
      </x:c>
      <x:c r="M205" s="190" t="n">
        <x:f>I205*K205</x:f>
        <x:v>2173.1591913021525</x:v>
      </x:c>
      <x:c r="N205" s="190" t="n">
        <x:f>L205+M205</x:f>
        <x:v>9336.773817078825</x:v>
      </x:c>
      <x:c r="O205" s="196" t="n">
        <x:f>F205-H205-I205</x:f>
        <x:v>0</x:v>
      </x:c>
    </x:row>
    <x:row r="206">
      <x:c r="A206" s="20" t="n">
        <x:v>17</x:v>
      </x:c>
      <x:c r="B206" s="20" t="n">
        <x:v>10</x:v>
      </x:c>
      <x:c r="C206" s="563" t="n">
        <x:f>'_計算月次'!$J$14</x:f>
        <x:v>408.8269849869007</x:v>
      </x:c>
      <x:c r="D206" s="563" t="n">
        <x:f>'_計算月次'!$K$14</x:f>
        <x:v>315.00000000000006</x:v>
      </x:c>
      <x:c r="E206" s="585" t="n">
        <x:f>(1-MAX(MIN('詳細設定'!$D$16,0.999999),0))^(A206-1)</x:f>
        <x:v>1</x:v>
      </x:c>
      <x:c r="F206" s="563" t="n">
        <x:f>MAX(C206*E206,0)</x:f>
        <x:v>408.8269849869007</x:v>
      </x:c>
      <x:c r="G206" s="563" t="n">
        <x:f>MAX(MIN('詳細設定'!$D$15,1),0)</x:f>
        <x:v>0.4</x:v>
      </x:c>
      <x:c r="H206" s="563" t="n">
        <x:f>MAX(MIN(F206*G206,D206),0)</x:f>
        <x:v>163.5307939947603</x:v>
      </x:c>
      <x:c r="I206" s="563" t="n">
        <x:f>MAX(F206-H206,0)</x:f>
        <x:v>245.2961909921404</x:v>
      </x:c>
      <x:c r="J206" s="185" t="n">
        <x:f>MAX('詳細設定'!$D$6,0)*(1+'詳細設定'!$D$21)^(A206-1)</x:f>
        <x:v>41.04025257232946</x:v>
      </x:c>
      <x:c r="K206" s="185" t="n">
        <x:f>IF(A206&lt;=MAX(MIN('詳細設定'!$D$8,20),0),MAX('詳細設定'!$D$7,0),IF(A206&lt;=MAX(MIN('詳細設定'!$D$10,20),0),MAX('詳細設定'!$D$9,0),MAX('詳細設定'!$D$11,0)))</x:f>
        <x:v>8.3</x:v>
      </x:c>
      <x:c r="L206" s="190" t="n">
        <x:f>H206*J206</x:f>
        <x:v>6711.34508889854</x:v>
      </x:c>
      <x:c r="M206" s="190" t="n">
        <x:f>I206*K206</x:f>
        <x:v>2035.9583852347655</x:v>
      </x:c>
      <x:c r="N206" s="190" t="n">
        <x:f>L206+M206</x:f>
        <x:v>8747.303474133305</x:v>
      </x:c>
      <x:c r="O206" s="196" t="n">
        <x:f>F206-H206-I206</x:f>
        <x:v>0</x:v>
      </x:c>
    </x:row>
    <x:row r="207">
      <x:c r="A207" s="20" t="n">
        <x:v>17</x:v>
      </x:c>
      <x:c r="B207" s="20" t="n">
        <x:v>11</x:v>
      </x:c>
      <x:c r="C207" s="563" t="n">
        <x:f>'_計算月次'!$J$15</x:f>
        <x:v>398.45169764745054</x:v>
      </x:c>
      <x:c r="D207" s="563" t="n">
        <x:f>'_計算月次'!$K$15</x:f>
        <x:v>360</x:v>
      </x:c>
      <x:c r="E207" s="585" t="n">
        <x:f>(1-MAX(MIN('詳細設定'!$D$16,0.999999),0))^(A207-1)</x:f>
        <x:v>1</x:v>
      </x:c>
      <x:c r="F207" s="563" t="n">
        <x:f>MAX(C207*E207,0)</x:f>
        <x:v>398.45169764745054</x:v>
      </x:c>
      <x:c r="G207" s="563" t="n">
        <x:f>MAX(MIN('詳細設定'!$D$15,1),0)</x:f>
        <x:v>0.4</x:v>
      </x:c>
      <x:c r="H207" s="563" t="n">
        <x:f>MAX(MIN(F207*G207,D207),0)</x:f>
        <x:v>159.38067905898023</x:v>
      </x:c>
      <x:c r="I207" s="563" t="n">
        <x:f>MAX(F207-H207,0)</x:f>
        <x:v>239.0710185884703</x:v>
      </x:c>
      <x:c r="J207" s="185" t="n">
        <x:f>MAX('詳細設定'!$D$6,0)*(1+'詳細設定'!$D$21)^(A207-1)</x:f>
        <x:v>41.04025257232946</x:v>
      </x:c>
      <x:c r="K207" s="185" t="n">
        <x:f>IF(A207&lt;=MAX(MIN('詳細設定'!$D$8,20),0),MAX('詳細設定'!$D$7,0),IF(A207&lt;=MAX(MIN('詳細設定'!$D$10,20),0),MAX('詳細設定'!$D$9,0),MAX('詳細設定'!$D$11,0)))</x:f>
        <x:v>8.3</x:v>
      </x:c>
      <x:c r="L207" s="190" t="n">
        <x:f>H207*J207</x:f>
        <x:v>6541.023323729929</x:v>
      </x:c>
      <x:c r="M207" s="190" t="n">
        <x:f>I207*K207</x:f>
        <x:v>1984.2894542843037</x:v>
      </x:c>
      <x:c r="N207" s="190" t="n">
        <x:f>L207+M207</x:f>
        <x:v>8525.312778014233</x:v>
      </x:c>
      <x:c r="O207" s="196" t="n">
        <x:f>F207-H207-I207</x:f>
        <x:v>0</x:v>
      </x:c>
    </x:row>
    <x:row r="208">
      <x:c r="A208" s="20" t="n">
        <x:v>17</x:v>
      </x:c>
      <x:c r="B208" s="20" t="n">
        <x:v>12</x:v>
      </x:c>
      <x:c r="C208" s="563" t="n">
        <x:f>'_計算月次'!$J$16</x:f>
        <x:v>443.97248688000184</x:v>
      </x:c>
      <x:c r="D208" s="563" t="n">
        <x:f>'_計算月次'!$K$16</x:f>
        <x:v>405</x:v>
      </x:c>
      <x:c r="E208" s="585" t="n">
        <x:f>(1-MAX(MIN('詳細設定'!$D$16,0.999999),0))^(A208-1)</x:f>
        <x:v>1</x:v>
      </x:c>
      <x:c r="F208" s="563" t="n">
        <x:f>MAX(C208*E208,0)</x:f>
        <x:v>443.97248688000184</x:v>
      </x:c>
      <x:c r="G208" s="563" t="n">
        <x:f>MAX(MIN('詳細設定'!$D$15,1),0)</x:f>
        <x:v>0.4</x:v>
      </x:c>
      <x:c r="H208" s="563" t="n">
        <x:f>MAX(MIN(F208*G208,D208),0)</x:f>
        <x:v>177.58899475200076</x:v>
      </x:c>
      <x:c r="I208" s="563" t="n">
        <x:f>MAX(F208-H208,0)</x:f>
        <x:v>266.3834921280011</x:v>
      </x:c>
      <x:c r="J208" s="185" t="n">
        <x:f>MAX('詳細設定'!$D$6,0)*(1+'詳細設定'!$D$21)^(A208-1)</x:f>
        <x:v>41.04025257232946</x:v>
      </x:c>
      <x:c r="K208" s="185" t="n">
        <x:f>IF(A208&lt;=MAX(MIN('詳細設定'!$D$8,20),0),MAX('詳細設定'!$D$7,0),IF(A208&lt;=MAX(MIN('詳細設定'!$D$10,20),0),MAX('詳細設定'!$D$9,0),MAX('詳細設定'!$D$11,0)))</x:f>
        <x:v>8.3</x:v>
      </x:c>
      <x:c r="L208" s="190" t="n">
        <x:f>H208*J208</x:f>
        <x:v>7288.297198688201</x:v>
      </x:c>
      <x:c r="M208" s="190" t="n">
        <x:f>I208*K208</x:f>
        <x:v>2210.9829846624093</x:v>
      </x:c>
      <x:c r="N208" s="190" t="n">
        <x:f>L208+M208</x:f>
        <x:v>9499.280183350611</x:v>
      </x:c>
      <x:c r="O208" s="196" t="n">
        <x:f>F208-H208-I208</x:f>
        <x:v>0</x:v>
      </x:c>
    </x:row>
    <x:row r="209">
      <x:c r="A209" s="20" t="n">
        <x:v>18</x:v>
      </x:c>
      <x:c r="B209" s="20" t="n">
        <x:v>1</x:v>
      </x:c>
      <x:c r="C209" s="563" t="n">
        <x:f>'_計算月次'!$J$5</x:f>
        <x:v>502.4147595742038</x:v>
      </x:c>
      <x:c r="D209" s="563" t="n">
        <x:f>'_計算月次'!$K$5</x:f>
        <x:v>450</x:v>
      </x:c>
      <x:c r="E209" s="585" t="n">
        <x:f>(1-MAX(MIN('詳細設定'!$D$16,0.999999),0))^(A209-1)</x:f>
        <x:v>1</x:v>
      </x:c>
      <x:c r="F209" s="563" t="n">
        <x:f>MAX(C209*E209,0)</x:f>
        <x:v>502.4147595742038</x:v>
      </x:c>
      <x:c r="G209" s="563" t="n">
        <x:f>MAX(MIN('詳細設定'!$D$15,1),0)</x:f>
        <x:v>0.4</x:v>
      </x:c>
      <x:c r="H209" s="563" t="n">
        <x:f>MAX(MIN(F209*G209,D209),0)</x:f>
        <x:v>200.96590382968154</x:v>
      </x:c>
      <x:c r="I209" s="563" t="n">
        <x:f>MAX(F209-H209,0)</x:f>
        <x:v>301.44885574452223</x:v>
      </x:c>
      <x:c r="J209" s="185" t="n">
        <x:f>MAX('詳細設定'!$D$6,0)*(1+'詳細設定'!$D$21)^(A209-1)</x:f>
        <x:v>41.45065509805275</x:v>
      </x:c>
      <x:c r="K209" s="185" t="n">
        <x:f>IF(A209&lt;=MAX(MIN('詳細設定'!$D$8,20),0),MAX('詳細設定'!$D$7,0),IF(A209&lt;=MAX(MIN('詳細設定'!$D$10,20),0),MAX('詳細設定'!$D$9,0),MAX('詳細設定'!$D$11,0)))</x:f>
        <x:v>8.3</x:v>
      </x:c>
      <x:c r="L209" s="190" t="n">
        <x:f>H209*J209</x:f>
        <x:v>8330.168366112568</x:v>
      </x:c>
      <x:c r="M209" s="190" t="n">
        <x:f>I209*K209</x:f>
        <x:v>2502.025502679535</x:v>
      </x:c>
      <x:c r="N209" s="190" t="n">
        <x:f>L209+M209</x:f>
        <x:v>10832.193868792103</x:v>
      </x:c>
      <x:c r="O209" s="196" t="n">
        <x:f>F209-H209-I209</x:f>
        <x:v>0</x:v>
      </x:c>
    </x:row>
    <x:row r="210">
      <x:c r="A210" s="20" t="n">
        <x:v>18</x:v>
      </x:c>
      <x:c r="B210" s="20" t="n">
        <x:v>2</x:v>
      </x:c>
      <x:c r="C210" s="563" t="n">
        <x:f>'_計算月次'!$J$6</x:f>
        <x:v>472.4508339500229</x:v>
      </x:c>
      <x:c r="D210" s="563" t="n">
        <x:f>'_計算月次'!$K$6</x:f>
        <x:v>405</x:v>
      </x:c>
      <x:c r="E210" s="585" t="n">
        <x:f>(1-MAX(MIN('詳細設定'!$D$16,0.999999),0))^(A210-1)</x:f>
        <x:v>1</x:v>
      </x:c>
      <x:c r="F210" s="563" t="n">
        <x:f>MAX(C210*E210,0)</x:f>
        <x:v>472.4508339500229</x:v>
      </x:c>
      <x:c r="G210" s="563" t="n">
        <x:f>MAX(MIN('詳細設定'!$D$15,1),0)</x:f>
        <x:v>0.4</x:v>
      </x:c>
      <x:c r="H210" s="563" t="n">
        <x:f>MAX(MIN(F210*G210,D210),0)</x:f>
        <x:v>188.9803335800092</x:v>
      </x:c>
      <x:c r="I210" s="563" t="n">
        <x:f>MAX(F210-H210,0)</x:f>
        <x:v>283.4705003700137</x:v>
      </x:c>
      <x:c r="J210" s="185" t="n">
        <x:f>MAX('詳細設定'!$D$6,0)*(1+'詳細設定'!$D$21)^(A210-1)</x:f>
        <x:v>41.45065509805275</x:v>
      </x:c>
      <x:c r="K210" s="185" t="n">
        <x:f>IF(A210&lt;=MAX(MIN('詳細設定'!$D$8,20),0),MAX('詳細設定'!$D$7,0),IF(A210&lt;=MAX(MIN('詳細設定'!$D$10,20),0),MAX('詳細設定'!$D$9,0),MAX('詳細設定'!$D$11,0)))</x:f>
        <x:v>8.3</x:v>
      </x:c>
      <x:c r="L210" s="190" t="n">
        <x:f>H210*J210</x:f>
        <x:v>7833.358627539917</x:v>
      </x:c>
      <x:c r="M210" s="190" t="n">
        <x:f>I210*K210</x:f>
        <x:v>2352.805153071114</x:v>
      </x:c>
      <x:c r="N210" s="190" t="n">
        <x:f>L210+M210</x:f>
        <x:v>10186.16378061103</x:v>
      </x:c>
      <x:c r="O210" s="196" t="n">
        <x:f>F210-H210-I210</x:f>
        <x:v>0</x:v>
      </x:c>
    </x:row>
    <x:row r="211">
      <x:c r="A211" s="20" t="n">
        <x:v>18</x:v>
      </x:c>
      <x:c r="B211" s="20" t="n">
        <x:v>3</x:v>
      </x:c>
      <x:c r="C211" s="563" t="n">
        <x:f>'_計算月次'!$J$7</x:f>
        <x:v>548.3418864753118</x:v>
      </x:c>
      <x:c r="D211" s="563" t="n">
        <x:f>'_計算月次'!$K$7</x:f>
        <x:v>360</x:v>
      </x:c>
      <x:c r="E211" s="585" t="n">
        <x:f>(1-MAX(MIN('詳細設定'!$D$16,0.999999),0))^(A211-1)</x:f>
        <x:v>1</x:v>
      </x:c>
      <x:c r="F211" s="563" t="n">
        <x:f>MAX(C211*E211,0)</x:f>
        <x:v>548.3418864753118</x:v>
      </x:c>
      <x:c r="G211" s="563" t="n">
        <x:f>MAX(MIN('詳細設定'!$D$15,1),0)</x:f>
        <x:v>0.4</x:v>
      </x:c>
      <x:c r="H211" s="563" t="n">
        <x:f>MAX(MIN(F211*G211,D211),0)</x:f>
        <x:v>219.3367545901247</x:v>
      </x:c>
      <x:c r="I211" s="563" t="n">
        <x:f>MAX(F211-H211,0)</x:f>
        <x:v>329.00513188518704</x:v>
      </x:c>
      <x:c r="J211" s="185" t="n">
        <x:f>MAX('詳細設定'!$D$6,0)*(1+'詳細設定'!$D$21)^(A211-1)</x:f>
        <x:v>41.45065509805275</x:v>
      </x:c>
      <x:c r="K211" s="185" t="n">
        <x:f>IF(A211&lt;=MAX(MIN('詳細設定'!$D$8,20),0),MAX('詳細設定'!$D$7,0),IF(A211&lt;=MAX(MIN('詳細設定'!$D$10,20),0),MAX('詳細設定'!$D$9,0),MAX('詳細設定'!$D$11,0)))</x:f>
        <x:v>8.3</x:v>
      </x:c>
      <x:c r="L211" s="190" t="n">
        <x:f>H211*J211</x:f>
        <x:v>9091.652164841498</x:v>
      </x:c>
      <x:c r="M211" s="190" t="n">
        <x:f>I211*K211</x:f>
        <x:v>2730.7425946470526</x:v>
      </x:c>
      <x:c r="N211" s="190" t="n">
        <x:f>L211+M211</x:f>
        <x:v>11822.39475948855</x:v>
      </x:c>
      <x:c r="O211" s="196" t="n">
        <x:f>F211-H211-I211</x:f>
        <x:v>0</x:v>
      </x:c>
    </x:row>
    <x:row r="212">
      <x:c r="A212" s="20" t="n">
        <x:v>18</x:v>
      </x:c>
      <x:c r="B212" s="20" t="n">
        <x:v>4</x:v>
      </x:c>
      <x:c r="C212" s="563" t="n">
        <x:f>'_計算月次'!$J$8</x:f>
        <x:v>548.3944393749554</x:v>
      </x:c>
      <x:c r="D212" s="563" t="n">
        <x:f>'_計算月次'!$K$8</x:f>
        <x:v>315.00000000000006</x:v>
      </x:c>
      <x:c r="E212" s="585" t="n">
        <x:f>(1-MAX(MIN('詳細設定'!$D$16,0.999999),0))^(A212-1)</x:f>
        <x:v>1</x:v>
      </x:c>
      <x:c r="F212" s="563" t="n">
        <x:f>MAX(C212*E212,0)</x:f>
        <x:v>548.3944393749554</x:v>
      </x:c>
      <x:c r="G212" s="563" t="n">
        <x:f>MAX(MIN('詳細設定'!$D$15,1),0)</x:f>
        <x:v>0.4</x:v>
      </x:c>
      <x:c r="H212" s="563" t="n">
        <x:f>MAX(MIN(F212*G212,D212),0)</x:f>
        <x:v>219.35777574998215</x:v>
      </x:c>
      <x:c r="I212" s="563" t="n">
        <x:f>MAX(F212-H212,0)</x:f>
        <x:v>329.03666362497324</x:v>
      </x:c>
      <x:c r="J212" s="185" t="n">
        <x:f>MAX('詳細設定'!$D$6,0)*(1+'詳細設定'!$D$21)^(A212-1)</x:f>
        <x:v>41.45065509805275</x:v>
      </x:c>
      <x:c r="K212" s="185" t="n">
        <x:f>IF(A212&lt;=MAX(MIN('詳細設定'!$D$8,20),0),MAX('詳細設定'!$D$7,0),IF(A212&lt;=MAX(MIN('詳細設定'!$D$10,20),0),MAX('詳細設定'!$D$9,0),MAX('詳細設定'!$D$11,0)))</x:f>
        <x:v>8.3</x:v>
      </x:c>
      <x:c r="L212" s="190" t="n">
        <x:f>H212*J212</x:f>
        <x:v>9092.52350568851</x:v>
      </x:c>
      <x:c r="M212" s="190" t="n">
        <x:f>I212*K212</x:f>
        <x:v>2731.0043080872783</x:v>
      </x:c>
      <x:c r="N212" s="190" t="n">
        <x:f>L212+M212</x:f>
        <x:v>11823.527813775789</x:v>
      </x:c>
      <x:c r="O212" s="196" t="n">
        <x:f>F212-H212-I212</x:f>
        <x:v>0</x:v>
      </x:c>
    </x:row>
    <x:row r="213">
      <x:c r="A213" s="20" t="n">
        <x:v>18</x:v>
      </x:c>
      <x:c r="B213" s="20" t="n">
        <x:v>5</x:v>
      </x:c>
      <x:c r="C213" s="563" t="n">
        <x:f>'_計算月次'!$J$9</x:f>
        <x:v>552.2367574934775</x:v>
      </x:c>
      <x:c r="D213" s="563" t="n">
        <x:f>'_計算月次'!$K$9</x:f>
        <x:v>315.00000000000006</x:v>
      </x:c>
      <x:c r="E213" s="585" t="n">
        <x:f>(1-MAX(MIN('詳細設定'!$D$16,0.999999),0))^(A213-1)</x:f>
        <x:v>1</x:v>
      </x:c>
      <x:c r="F213" s="563" t="n">
        <x:f>MAX(C213*E213,0)</x:f>
        <x:v>552.2367574934775</x:v>
      </x:c>
      <x:c r="G213" s="563" t="n">
        <x:f>MAX(MIN('詳細設定'!$D$15,1),0)</x:f>
        <x:v>0.4</x:v>
      </x:c>
      <x:c r="H213" s="563" t="n">
        <x:f>MAX(MIN(F213*G213,D213),0)</x:f>
        <x:v>220.89470299739102</x:v>
      </x:c>
      <x:c r="I213" s="563" t="n">
        <x:f>MAX(F213-H213,0)</x:f>
        <x:v>331.34205449608646</x:v>
      </x:c>
      <x:c r="J213" s="185" t="n">
        <x:f>MAX('詳細設定'!$D$6,0)*(1+'詳細設定'!$D$21)^(A213-1)</x:f>
        <x:v>41.45065509805275</x:v>
      </x:c>
      <x:c r="K213" s="185" t="n">
        <x:f>IF(A213&lt;=MAX(MIN('詳細設定'!$D$8,20),0),MAX('詳細設定'!$D$7,0),IF(A213&lt;=MAX(MIN('詳細設定'!$D$10,20),0),MAX('詳細設定'!$D$9,0),MAX('詳細設定'!$D$11,0)))</x:f>
        <x:v>8.3</x:v>
      </x:c>
      <x:c r="L213" s="190" t="n">
        <x:f>H213*J213</x:f>
        <x:v>9156.230146931654</x:v>
      </x:c>
      <x:c r="M213" s="190" t="n">
        <x:f>I213*K213</x:f>
        <x:v>2750.139052317518</x:v>
      </x:c>
      <x:c r="N213" s="190" t="n">
        <x:f>L213+M213</x:f>
        <x:v>11906.369199249171</x:v>
      </x:c>
      <x:c r="O213" s="196" t="n">
        <x:f>F213-H213-I213</x:f>
        <x:v>0</x:v>
      </x:c>
    </x:row>
    <x:row r="214">
      <x:c r="A214" s="20" t="n">
        <x:v>18</x:v>
      </x:c>
      <x:c r="B214" s="20" t="n">
        <x:v>6</x:v>
      </x:c>
      <x:c r="C214" s="563" t="n">
        <x:f>'_計算月次'!$J$10</x:f>
        <x:v>448.7994857612148</x:v>
      </x:c>
      <x:c r="D214" s="563" t="n">
        <x:f>'_計算月次'!$K$10</x:f>
        <x:v>360</x:v>
      </x:c>
      <x:c r="E214" s="585" t="n">
        <x:f>(1-MAX(MIN('詳細設定'!$D$16,0.999999),0))^(A214-1)</x:f>
        <x:v>1</x:v>
      </x:c>
      <x:c r="F214" s="563" t="n">
        <x:f>MAX(C214*E214,0)</x:f>
        <x:v>448.7994857612148</x:v>
      </x:c>
      <x:c r="G214" s="563" t="n">
        <x:f>MAX(MIN('詳細設定'!$D$15,1),0)</x:f>
        <x:v>0.4</x:v>
      </x:c>
      <x:c r="H214" s="563" t="n">
        <x:f>MAX(MIN(F214*G214,D214),0)</x:f>
        <x:v>179.5197943044859</x:v>
      </x:c>
      <x:c r="I214" s="563" t="n">
        <x:f>MAX(F214-H214,0)</x:f>
        <x:v>269.27969145672887</x:v>
      </x:c>
      <x:c r="J214" s="185" t="n">
        <x:f>MAX('詳細設定'!$D$6,0)*(1+'詳細設定'!$D$21)^(A214-1)</x:f>
        <x:v>41.45065509805275</x:v>
      </x:c>
      <x:c r="K214" s="185" t="n">
        <x:f>IF(A214&lt;=MAX(MIN('詳細設定'!$D$8,20),0),MAX('詳細設定'!$D$7,0),IF(A214&lt;=MAX(MIN('詳細設定'!$D$10,20),0),MAX('詳細設定'!$D$9,0),MAX('詳細設定'!$D$11,0)))</x:f>
        <x:v>8.3</x:v>
      </x:c>
      <x:c r="L214" s="190" t="n">
        <x:f>H214*J214</x:f>
        <x:v>7441.21307698862</x:v>
      </x:c>
      <x:c r="M214" s="190" t="n">
        <x:f>I214*K214</x:f>
        <x:v>2235.02143909085</x:v>
      </x:c>
      <x:c r="N214" s="190" t="n">
        <x:f>L214+M214</x:f>
        <x:v>9676.23451607947</x:v>
      </x:c>
      <x:c r="O214" s="196" t="n">
        <x:f>F214-H214-I214</x:f>
        <x:v>0</x:v>
      </x:c>
    </x:row>
    <x:row r="215">
      <x:c r="A215" s="20" t="n">
        <x:v>18</x:v>
      </x:c>
      <x:c r="B215" s="20" t="n">
        <x:v>7</x:v>
      </x:c>
      <x:c r="C215" s="563" t="n">
        <x:f>'_計算月次'!$J$11</x:f>
        <x:v>476.0181638067866</x:v>
      </x:c>
      <x:c r="D215" s="563" t="n">
        <x:f>'_計算月次'!$K$11</x:f>
        <x:v>405</x:v>
      </x:c>
      <x:c r="E215" s="585" t="n">
        <x:f>(1-MAX(MIN('詳細設定'!$D$16,0.999999),0))^(A215-1)</x:f>
        <x:v>1</x:v>
      </x:c>
      <x:c r="F215" s="563" t="n">
        <x:f>MAX(C215*E215,0)</x:f>
        <x:v>476.0181638067866</x:v>
      </x:c>
      <x:c r="G215" s="563" t="n">
        <x:f>MAX(MIN('詳細設定'!$D$15,1),0)</x:f>
        <x:v>0.4</x:v>
      </x:c>
      <x:c r="H215" s="563" t="n">
        <x:f>MAX(MIN(F215*G215,D215),0)</x:f>
        <x:v>190.40726552271465</x:v>
      </x:c>
      <x:c r="I215" s="563" t="n">
        <x:f>MAX(F215-H215,0)</x:f>
        <x:v>285.61089828407194</x:v>
      </x:c>
      <x:c r="J215" s="185" t="n">
        <x:f>MAX('詳細設定'!$D$6,0)*(1+'詳細設定'!$D$21)^(A215-1)</x:f>
        <x:v>41.45065509805275</x:v>
      </x:c>
      <x:c r="K215" s="185" t="n">
        <x:f>IF(A215&lt;=MAX(MIN('詳細設定'!$D$8,20),0),MAX('詳細設定'!$D$7,0),IF(A215&lt;=MAX(MIN('詳細設定'!$D$10,20),0),MAX('詳細設定'!$D$9,0),MAX('詳細設定'!$D$11,0)))</x:f>
        <x:v>8.3</x:v>
      </x:c>
      <x:c r="L215" s="190" t="n">
        <x:f>H215*J215</x:f>
        <x:v>7892.505891345396</x:v>
      </x:c>
      <x:c r="M215" s="190" t="n">
        <x:f>I215*K215</x:f>
        <x:v>2370.5704557577974</x:v>
      </x:c>
      <x:c r="N215" s="190" t="n">
        <x:f>L215+M215</x:f>
        <x:v>10263.076347103193</x:v>
      </x:c>
      <x:c r="O215" s="196" t="n">
        <x:f>F215-H215-I215</x:f>
        <x:v>0</x:v>
      </x:c>
    </x:row>
    <x:row r="216">
      <x:c r="A216" s="20" t="n">
        <x:v>18</x:v>
      </x:c>
      <x:c r="B216" s="20" t="n">
        <x:v>8</x:v>
      </x:c>
      <x:c r="C216" s="563" t="n">
        <x:f>'_計算月次'!$J$12</x:f>
        <x:v>528.6548067323699</x:v>
      </x:c>
      <x:c r="D216" s="563" t="n">
        <x:f>'_計算月次'!$K$12</x:f>
        <x:v>450</x:v>
      </x:c>
      <x:c r="E216" s="585" t="n">
        <x:f>(1-MAX(MIN('詳細設定'!$D$16,0.999999),0))^(A216-1)</x:f>
        <x:v>1</x:v>
      </x:c>
      <x:c r="F216" s="563" t="n">
        <x:f>MAX(C216*E216,0)</x:f>
        <x:v>528.6548067323699</x:v>
      </x:c>
      <x:c r="G216" s="563" t="n">
        <x:f>MAX(MIN('詳細設定'!$D$15,1),0)</x:f>
        <x:v>0.4</x:v>
      </x:c>
      <x:c r="H216" s="563" t="n">
        <x:f>MAX(MIN(F216*G216,D216),0)</x:f>
        <x:v>211.46192269294798</x:v>
      </x:c>
      <x:c r="I216" s="563" t="n">
        <x:f>MAX(F216-H216,0)</x:f>
        <x:v>317.192884039422</x:v>
      </x:c>
      <x:c r="J216" s="185" t="n">
        <x:f>MAX('詳細設定'!$D$6,0)*(1+'詳細設定'!$D$21)^(A216-1)</x:f>
        <x:v>41.45065509805275</x:v>
      </x:c>
      <x:c r="K216" s="185" t="n">
        <x:f>IF(A216&lt;=MAX(MIN('詳細設定'!$D$8,20),0),MAX('詳細設定'!$D$7,0),IF(A216&lt;=MAX(MIN('詳細設定'!$D$10,20),0),MAX('詳細設定'!$D$9,0),MAX('詳細設定'!$D$11,0)))</x:f>
        <x:v>8.3</x:v>
      </x:c>
      <x:c r="L216" s="190" t="n">
        <x:f>H216*J216</x:f>
        <x:v>8765.235223916481</x:v>
      </x:c>
      <x:c r="M216" s="190" t="n">
        <x:f>I216*K216</x:f>
        <x:v>2632.7009375272028</x:v>
      </x:c>
      <x:c r="N216" s="190" t="n">
        <x:f>L216+M216</x:f>
        <x:v>11397.936161443684</x:v>
      </x:c>
      <x:c r="O216" s="196" t="n">
        <x:f>F216-H216-I216</x:f>
        <x:v>0</x:v>
      </x:c>
    </x:row>
    <x:row r="217">
      <x:c r="A217" s="20" t="n">
        <x:v>18</x:v>
      </x:c>
      <x:c r="B217" s="20" t="n">
        <x:v>9</x:v>
      </x:c>
      <x:c r="C217" s="563" t="n">
        <x:f>'_計算月次'!$J$13</x:f>
        <x:v>436.37734765103465</x:v>
      </x:c>
      <x:c r="D217" s="563" t="n">
        <x:f>'_計算月次'!$K$13</x:f>
        <x:v>360</x:v>
      </x:c>
      <x:c r="E217" s="585" t="n">
        <x:f>(1-MAX(MIN('詳細設定'!$D$16,0.999999),0))^(A217-1)</x:f>
        <x:v>1</x:v>
      </x:c>
      <x:c r="F217" s="563" t="n">
        <x:f>MAX(C217*E217,0)</x:f>
        <x:v>436.37734765103465</x:v>
      </x:c>
      <x:c r="G217" s="563" t="n">
        <x:f>MAX(MIN('詳細設定'!$D$15,1),0)</x:f>
        <x:v>0.4</x:v>
      </x:c>
      <x:c r="H217" s="563" t="n">
        <x:f>MAX(MIN(F217*G217,D217),0)</x:f>
        <x:v>174.55093906041387</x:v>
      </x:c>
      <x:c r="I217" s="563" t="n">
        <x:f>MAX(F217-H217,0)</x:f>
        <x:v>261.82640859062076</x:v>
      </x:c>
      <x:c r="J217" s="185" t="n">
        <x:f>MAX('詳細設定'!$D$6,0)*(1+'詳細設定'!$D$21)^(A217-1)</x:f>
        <x:v>41.45065509805275</x:v>
      </x:c>
      <x:c r="K217" s="185" t="n">
        <x:f>IF(A217&lt;=MAX(MIN('詳細設定'!$D$8,20),0),MAX('詳細設定'!$D$7,0),IF(A217&lt;=MAX(MIN('詳細設定'!$D$10,20),0),MAX('詳細設定'!$D$9,0),MAX('詳細設定'!$D$11,0)))</x:f>
        <x:v>8.3</x:v>
      </x:c>
      <x:c r="L217" s="190" t="n">
        <x:f>H217*J217</x:f>
        <x:v>7235.250772034439</x:v>
      </x:c>
      <x:c r="M217" s="190" t="n">
        <x:f>I217*K217</x:f>
        <x:v>2173.1591913021525</x:v>
      </x:c>
      <x:c r="N217" s="190" t="n">
        <x:f>L217+M217</x:f>
        <x:v>9408.409963336591</x:v>
      </x:c>
      <x:c r="O217" s="196" t="n">
        <x:f>F217-H217-I217</x:f>
        <x:v>0</x:v>
      </x:c>
    </x:row>
    <x:row r="218">
      <x:c r="A218" s="20" t="n">
        <x:v>18</x:v>
      </x:c>
      <x:c r="B218" s="20" t="n">
        <x:v>10</x:v>
      </x:c>
      <x:c r="C218" s="563" t="n">
        <x:f>'_計算月次'!$J$14</x:f>
        <x:v>408.8269849869007</x:v>
      </x:c>
      <x:c r="D218" s="563" t="n">
        <x:f>'_計算月次'!$K$14</x:f>
        <x:v>315.00000000000006</x:v>
      </x:c>
      <x:c r="E218" s="585" t="n">
        <x:f>(1-MAX(MIN('詳細設定'!$D$16,0.999999),0))^(A218-1)</x:f>
        <x:v>1</x:v>
      </x:c>
      <x:c r="F218" s="563" t="n">
        <x:f>MAX(C218*E218,0)</x:f>
        <x:v>408.8269849869007</x:v>
      </x:c>
      <x:c r="G218" s="563" t="n">
        <x:f>MAX(MIN('詳細設定'!$D$15,1),0)</x:f>
        <x:v>0.4</x:v>
      </x:c>
      <x:c r="H218" s="563" t="n">
        <x:f>MAX(MIN(F218*G218,D218),0)</x:f>
        <x:v>163.5307939947603</x:v>
      </x:c>
      <x:c r="I218" s="563" t="n">
        <x:f>MAX(F218-H218,0)</x:f>
        <x:v>245.2961909921404</x:v>
      </x:c>
      <x:c r="J218" s="185" t="n">
        <x:f>MAX('詳細設定'!$D$6,0)*(1+'詳細設定'!$D$21)^(A218-1)</x:f>
        <x:v>41.45065509805275</x:v>
      </x:c>
      <x:c r="K218" s="185" t="n">
        <x:f>IF(A218&lt;=MAX(MIN('詳細設定'!$D$8,20),0),MAX('詳細設定'!$D$7,0),IF(A218&lt;=MAX(MIN('詳細設定'!$D$10,20),0),MAX('詳細設定'!$D$9,0),MAX('詳細設定'!$D$11,0)))</x:f>
        <x:v>8.3</x:v>
      </x:c>
      <x:c r="L218" s="190" t="n">
        <x:f>H218*J218</x:f>
        <x:v>6778.458539787525</x:v>
      </x:c>
      <x:c r="M218" s="190" t="n">
        <x:f>I218*K218</x:f>
        <x:v>2035.9583852347655</x:v>
      </x:c>
      <x:c r="N218" s="190" t="n">
        <x:f>L218+M218</x:f>
        <x:v>8814.416925022291</x:v>
      </x:c>
      <x:c r="O218" s="196" t="n">
        <x:f>F218-H218-I218</x:f>
        <x:v>0</x:v>
      </x:c>
    </x:row>
    <x:row r="219">
      <x:c r="A219" s="20" t="n">
        <x:v>18</x:v>
      </x:c>
      <x:c r="B219" s="20" t="n">
        <x:v>11</x:v>
      </x:c>
      <x:c r="C219" s="563" t="n">
        <x:f>'_計算月次'!$J$15</x:f>
        <x:v>398.45169764745054</x:v>
      </x:c>
      <x:c r="D219" s="563" t="n">
        <x:f>'_計算月次'!$K$15</x:f>
        <x:v>360</x:v>
      </x:c>
      <x:c r="E219" s="585" t="n">
        <x:f>(1-MAX(MIN('詳細設定'!$D$16,0.999999),0))^(A219-1)</x:f>
        <x:v>1</x:v>
      </x:c>
      <x:c r="F219" s="563" t="n">
        <x:f>MAX(C219*E219,0)</x:f>
        <x:v>398.45169764745054</x:v>
      </x:c>
      <x:c r="G219" s="563" t="n">
        <x:f>MAX(MIN('詳細設定'!$D$15,1),0)</x:f>
        <x:v>0.4</x:v>
      </x:c>
      <x:c r="H219" s="563" t="n">
        <x:f>MAX(MIN(F219*G219,D219),0)</x:f>
        <x:v>159.38067905898023</x:v>
      </x:c>
      <x:c r="I219" s="563" t="n">
        <x:f>MAX(F219-H219,0)</x:f>
        <x:v>239.0710185884703</x:v>
      </x:c>
      <x:c r="J219" s="185" t="n">
        <x:f>MAX('詳細設定'!$D$6,0)*(1+'詳細設定'!$D$21)^(A219-1)</x:f>
        <x:v>41.45065509805275</x:v>
      </x:c>
      <x:c r="K219" s="185" t="n">
        <x:f>IF(A219&lt;=MAX(MIN('詳細設定'!$D$8,20),0),MAX('詳細設定'!$D$7,0),IF(A219&lt;=MAX(MIN('詳細設定'!$D$10,20),0),MAX('詳細設定'!$D$9,0),MAX('詳細設定'!$D$11,0)))</x:f>
        <x:v>8.3</x:v>
      </x:c>
      <x:c r="L219" s="190" t="n">
        <x:f>H219*J219</x:f>
        <x:v>6606.4335569672285</x:v>
      </x:c>
      <x:c r="M219" s="190" t="n">
        <x:f>I219*K219</x:f>
        <x:v>1984.2894542843037</x:v>
      </x:c>
      <x:c r="N219" s="190" t="n">
        <x:f>L219+M219</x:f>
        <x:v>8590.723011251532</x:v>
      </x:c>
      <x:c r="O219" s="196" t="n">
        <x:f>F219-H219-I219</x:f>
        <x:v>0</x:v>
      </x:c>
    </x:row>
    <x:row r="220">
      <x:c r="A220" s="20" t="n">
        <x:v>18</x:v>
      </x:c>
      <x:c r="B220" s="20" t="n">
        <x:v>12</x:v>
      </x:c>
      <x:c r="C220" s="563" t="n">
        <x:f>'_計算月次'!$J$16</x:f>
        <x:v>443.97248688000184</x:v>
      </x:c>
      <x:c r="D220" s="563" t="n">
        <x:f>'_計算月次'!$K$16</x:f>
        <x:v>405</x:v>
      </x:c>
      <x:c r="E220" s="585" t="n">
        <x:f>(1-MAX(MIN('詳細設定'!$D$16,0.999999),0))^(A220-1)</x:f>
        <x:v>1</x:v>
      </x:c>
      <x:c r="F220" s="563" t="n">
        <x:f>MAX(C220*E220,0)</x:f>
        <x:v>443.97248688000184</x:v>
      </x:c>
      <x:c r="G220" s="563" t="n">
        <x:f>MAX(MIN('詳細設定'!$D$15,1),0)</x:f>
        <x:v>0.4</x:v>
      </x:c>
      <x:c r="H220" s="563" t="n">
        <x:f>MAX(MIN(F220*G220,D220),0)</x:f>
        <x:v>177.58899475200076</x:v>
      </x:c>
      <x:c r="I220" s="563" t="n">
        <x:f>MAX(F220-H220,0)</x:f>
        <x:v>266.3834921280011</x:v>
      </x:c>
      <x:c r="J220" s="185" t="n">
        <x:f>MAX('詳細設定'!$D$6,0)*(1+'詳細設定'!$D$21)^(A220-1)</x:f>
        <x:v>41.45065509805275</x:v>
      </x:c>
      <x:c r="K220" s="185" t="n">
        <x:f>IF(A220&lt;=MAX(MIN('詳細設定'!$D$8,20),0),MAX('詳細設定'!$D$7,0),IF(A220&lt;=MAX(MIN('詳細設定'!$D$10,20),0),MAX('詳細設定'!$D$9,0),MAX('詳細設定'!$D$11,0)))</x:f>
        <x:v>8.3</x:v>
      </x:c>
      <x:c r="L220" s="190" t="n">
        <x:f>H220*J220</x:f>
        <x:v>7361.180170675083</x:v>
      </x:c>
      <x:c r="M220" s="190" t="n">
        <x:f>I220*K220</x:f>
        <x:v>2210.9829846624093</x:v>
      </x:c>
      <x:c r="N220" s="190" t="n">
        <x:f>L220+M220</x:f>
        <x:v>9572.163155337492</x:v>
      </x:c>
      <x:c r="O220" s="196" t="n">
        <x:f>F220-H220-I220</x:f>
        <x:v>0</x:v>
      </x:c>
    </x:row>
    <x:row r="221">
      <x:c r="A221" s="20" t="n">
        <x:v>19</x:v>
      </x:c>
      <x:c r="B221" s="20" t="n">
        <x:v>1</x:v>
      </x:c>
      <x:c r="C221" s="563" t="n">
        <x:f>'_計算月次'!$J$5</x:f>
        <x:v>502.4147595742038</x:v>
      </x:c>
      <x:c r="D221" s="563" t="n">
        <x:f>'_計算月次'!$K$5</x:f>
        <x:v>450</x:v>
      </x:c>
      <x:c r="E221" s="585" t="n">
        <x:f>(1-MAX(MIN('詳細設定'!$D$16,0.999999),0))^(A221-1)</x:f>
        <x:v>1</x:v>
      </x:c>
      <x:c r="F221" s="563" t="n">
        <x:f>MAX(C221*E221,0)</x:f>
        <x:v>502.4147595742038</x:v>
      </x:c>
      <x:c r="G221" s="563" t="n">
        <x:f>MAX(MIN('詳細設定'!$D$15,1),0)</x:f>
        <x:v>0.4</x:v>
      </x:c>
      <x:c r="H221" s="563" t="n">
        <x:f>MAX(MIN(F221*G221,D221),0)</x:f>
        <x:v>200.96590382968154</x:v>
      </x:c>
      <x:c r="I221" s="563" t="n">
        <x:f>MAX(F221-H221,0)</x:f>
        <x:v>301.44885574452223</x:v>
      </x:c>
      <x:c r="J221" s="185" t="n">
        <x:f>MAX('詳細設定'!$D$6,0)*(1+'詳細設定'!$D$21)^(A221-1)</x:f>
        <x:v>41.865161649033276</x:v>
      </x:c>
      <x:c r="K221" s="185" t="n">
        <x:f>IF(A221&lt;=MAX(MIN('詳細設定'!$D$8,20),0),MAX('詳細設定'!$D$7,0),IF(A221&lt;=MAX(MIN('詳細設定'!$D$10,20),0),MAX('詳細設定'!$D$9,0),MAX('詳細設定'!$D$11,0)))</x:f>
        <x:v>8.3</x:v>
      </x:c>
      <x:c r="L221" s="190" t="n">
        <x:f>H221*J221</x:f>
        <x:v>8413.470049773692</x:v>
      </x:c>
      <x:c r="M221" s="190" t="n">
        <x:f>I221*K221</x:f>
        <x:v>2502.025502679535</x:v>
      </x:c>
      <x:c r="N221" s="190" t="n">
        <x:f>L221+M221</x:f>
        <x:v>10915.495552453227</x:v>
      </x:c>
      <x:c r="O221" s="196" t="n">
        <x:f>F221-H221-I221</x:f>
        <x:v>0</x:v>
      </x:c>
    </x:row>
    <x:row r="222">
      <x:c r="A222" s="20" t="n">
        <x:v>19</x:v>
      </x:c>
      <x:c r="B222" s="20" t="n">
        <x:v>2</x:v>
      </x:c>
      <x:c r="C222" s="563" t="n">
        <x:f>'_計算月次'!$J$6</x:f>
        <x:v>472.4508339500229</x:v>
      </x:c>
      <x:c r="D222" s="563" t="n">
        <x:f>'_計算月次'!$K$6</x:f>
        <x:v>405</x:v>
      </x:c>
      <x:c r="E222" s="585" t="n">
        <x:f>(1-MAX(MIN('詳細設定'!$D$16,0.999999),0))^(A222-1)</x:f>
        <x:v>1</x:v>
      </x:c>
      <x:c r="F222" s="563" t="n">
        <x:f>MAX(C222*E222,0)</x:f>
        <x:v>472.4508339500229</x:v>
      </x:c>
      <x:c r="G222" s="563" t="n">
        <x:f>MAX(MIN('詳細設定'!$D$15,1),0)</x:f>
        <x:v>0.4</x:v>
      </x:c>
      <x:c r="H222" s="563" t="n">
        <x:f>MAX(MIN(F222*G222,D222),0)</x:f>
        <x:v>188.9803335800092</x:v>
      </x:c>
      <x:c r="I222" s="563" t="n">
        <x:f>MAX(F222-H222,0)</x:f>
        <x:v>283.4705003700137</x:v>
      </x:c>
      <x:c r="J222" s="185" t="n">
        <x:f>MAX('詳細設定'!$D$6,0)*(1+'詳細設定'!$D$21)^(A222-1)</x:f>
        <x:v>41.865161649033276</x:v>
      </x:c>
      <x:c r="K222" s="185" t="n">
        <x:f>IF(A222&lt;=MAX(MIN('詳細設定'!$D$8,20),0),MAX('詳細設定'!$D$7,0),IF(A222&lt;=MAX(MIN('詳細設定'!$D$10,20),0),MAX('詳細設定'!$D$9,0),MAX('詳細設定'!$D$11,0)))</x:f>
        <x:v>8.3</x:v>
      </x:c>
      <x:c r="L222" s="190" t="n">
        <x:f>H222*J222</x:f>
        <x:v>7911.692213815316</x:v>
      </x:c>
      <x:c r="M222" s="190" t="n">
        <x:f>I222*K222</x:f>
        <x:v>2352.805153071114</x:v>
      </x:c>
      <x:c r="N222" s="190" t="n">
        <x:f>L222+M222</x:f>
        <x:v>10264.49736688643</x:v>
      </x:c>
      <x:c r="O222" s="196" t="n">
        <x:f>F222-H222-I222</x:f>
        <x:v>0</x:v>
      </x:c>
    </x:row>
    <x:row r="223">
      <x:c r="A223" s="20" t="n">
        <x:v>19</x:v>
      </x:c>
      <x:c r="B223" s="20" t="n">
        <x:v>3</x:v>
      </x:c>
      <x:c r="C223" s="563" t="n">
        <x:f>'_計算月次'!$J$7</x:f>
        <x:v>548.3418864753118</x:v>
      </x:c>
      <x:c r="D223" s="563" t="n">
        <x:f>'_計算月次'!$K$7</x:f>
        <x:v>360</x:v>
      </x:c>
      <x:c r="E223" s="585" t="n">
        <x:f>(1-MAX(MIN('詳細設定'!$D$16,0.999999),0))^(A223-1)</x:f>
        <x:v>1</x:v>
      </x:c>
      <x:c r="F223" s="563" t="n">
        <x:f>MAX(C223*E223,0)</x:f>
        <x:v>548.3418864753118</x:v>
      </x:c>
      <x:c r="G223" s="563" t="n">
        <x:f>MAX(MIN('詳細設定'!$D$15,1),0)</x:f>
        <x:v>0.4</x:v>
      </x:c>
      <x:c r="H223" s="563" t="n">
        <x:f>MAX(MIN(F223*G223,D223),0)</x:f>
        <x:v>219.3367545901247</x:v>
      </x:c>
      <x:c r="I223" s="563" t="n">
        <x:f>MAX(F223-H223,0)</x:f>
        <x:v>329.00513188518704</x:v>
      </x:c>
      <x:c r="J223" s="185" t="n">
        <x:f>MAX('詳細設定'!$D$6,0)*(1+'詳細設定'!$D$21)^(A223-1)</x:f>
        <x:v>41.865161649033276</x:v>
      </x:c>
      <x:c r="K223" s="185" t="n">
        <x:f>IF(A223&lt;=MAX(MIN('詳細設定'!$D$8,20),0),MAX('詳細設定'!$D$7,0),IF(A223&lt;=MAX(MIN('詳細設定'!$D$10,20),0),MAX('詳細設定'!$D$9,0),MAX('詳細設定'!$D$11,0)))</x:f>
        <x:v>8.3</x:v>
      </x:c>
      <x:c r="L223" s="190" t="n">
        <x:f>H223*J223</x:f>
        <x:v>9182.568686489913</x:v>
      </x:c>
      <x:c r="M223" s="190" t="n">
        <x:f>I223*K223</x:f>
        <x:v>2730.7425946470526</x:v>
      </x:c>
      <x:c r="N223" s="190" t="n">
        <x:f>L223+M223</x:f>
        <x:v>11913.311281136965</x:v>
      </x:c>
      <x:c r="O223" s="196" t="n">
        <x:f>F223-H223-I223</x:f>
        <x:v>0</x:v>
      </x:c>
    </x:row>
    <x:row r="224">
      <x:c r="A224" s="20" t="n">
        <x:v>19</x:v>
      </x:c>
      <x:c r="B224" s="20" t="n">
        <x:v>4</x:v>
      </x:c>
      <x:c r="C224" s="563" t="n">
        <x:f>'_計算月次'!$J$8</x:f>
        <x:v>548.3944393749554</x:v>
      </x:c>
      <x:c r="D224" s="563" t="n">
        <x:f>'_計算月次'!$K$8</x:f>
        <x:v>315.00000000000006</x:v>
      </x:c>
      <x:c r="E224" s="585" t="n">
        <x:f>(1-MAX(MIN('詳細設定'!$D$16,0.999999),0))^(A224-1)</x:f>
        <x:v>1</x:v>
      </x:c>
      <x:c r="F224" s="563" t="n">
        <x:f>MAX(C224*E224,0)</x:f>
        <x:v>548.3944393749554</x:v>
      </x:c>
      <x:c r="G224" s="563" t="n">
        <x:f>MAX(MIN('詳細設定'!$D$15,1),0)</x:f>
        <x:v>0.4</x:v>
      </x:c>
      <x:c r="H224" s="563" t="n">
        <x:f>MAX(MIN(F224*G224,D224),0)</x:f>
        <x:v>219.35777574998215</x:v>
      </x:c>
      <x:c r="I224" s="563" t="n">
        <x:f>MAX(F224-H224,0)</x:f>
        <x:v>329.03666362497324</x:v>
      </x:c>
      <x:c r="J224" s="185" t="n">
        <x:f>MAX('詳細設定'!$D$6,0)*(1+'詳細設定'!$D$21)^(A224-1)</x:f>
        <x:v>41.865161649033276</x:v>
      </x:c>
      <x:c r="K224" s="185" t="n">
        <x:f>IF(A224&lt;=MAX(MIN('詳細設定'!$D$8,20),0),MAX('詳細設定'!$D$7,0),IF(A224&lt;=MAX(MIN('詳細設定'!$D$10,20),0),MAX('詳細設定'!$D$9,0),MAX('詳細設定'!$D$11,0)))</x:f>
        <x:v>8.3</x:v>
      </x:c>
      <x:c r="L224" s="190" t="n">
        <x:f>H224*J224</x:f>
        <x:v>9183.448740745394</x:v>
      </x:c>
      <x:c r="M224" s="190" t="n">
        <x:f>I224*K224</x:f>
        <x:v>2731.0043080872783</x:v>
      </x:c>
      <x:c r="N224" s="190" t="n">
        <x:f>L224+M224</x:f>
        <x:v>11914.453048832673</x:v>
      </x:c>
      <x:c r="O224" s="196" t="n">
        <x:f>F224-H224-I224</x:f>
        <x:v>0</x:v>
      </x:c>
    </x:row>
    <x:row r="225">
      <x:c r="A225" s="20" t="n">
        <x:v>19</x:v>
      </x:c>
      <x:c r="B225" s="20" t="n">
        <x:v>5</x:v>
      </x:c>
      <x:c r="C225" s="563" t="n">
        <x:f>'_計算月次'!$J$9</x:f>
        <x:v>552.2367574934775</x:v>
      </x:c>
      <x:c r="D225" s="563" t="n">
        <x:f>'_計算月次'!$K$9</x:f>
        <x:v>315.00000000000006</x:v>
      </x:c>
      <x:c r="E225" s="585" t="n">
        <x:f>(1-MAX(MIN('詳細設定'!$D$16,0.999999),0))^(A225-1)</x:f>
        <x:v>1</x:v>
      </x:c>
      <x:c r="F225" s="563" t="n">
        <x:f>MAX(C225*E225,0)</x:f>
        <x:v>552.2367574934775</x:v>
      </x:c>
      <x:c r="G225" s="563" t="n">
        <x:f>MAX(MIN('詳細設定'!$D$15,1),0)</x:f>
        <x:v>0.4</x:v>
      </x:c>
      <x:c r="H225" s="563" t="n">
        <x:f>MAX(MIN(F225*G225,D225),0)</x:f>
        <x:v>220.89470299739102</x:v>
      </x:c>
      <x:c r="I225" s="563" t="n">
        <x:f>MAX(F225-H225,0)</x:f>
        <x:v>331.34205449608646</x:v>
      </x:c>
      <x:c r="J225" s="185" t="n">
        <x:f>MAX('詳細設定'!$D$6,0)*(1+'詳細設定'!$D$21)^(A225-1)</x:f>
        <x:v>41.865161649033276</x:v>
      </x:c>
      <x:c r="K225" s="185" t="n">
        <x:f>IF(A225&lt;=MAX(MIN('詳細設定'!$D$8,20),0),MAX('詳細設定'!$D$7,0),IF(A225&lt;=MAX(MIN('詳細設定'!$D$10,20),0),MAX('詳細設定'!$D$9,0),MAX('詳細設定'!$D$11,0)))</x:f>
        <x:v>8.3</x:v>
      </x:c>
      <x:c r="L225" s="190" t="n">
        <x:f>H225*J225</x:f>
        <x:v>9247.79244840097</x:v>
      </x:c>
      <x:c r="M225" s="190" t="n">
        <x:f>I225*K225</x:f>
        <x:v>2750.139052317518</x:v>
      </x:c>
      <x:c r="N225" s="190" t="n">
        <x:f>L225+M225</x:f>
        <x:v>11997.931500718489</x:v>
      </x:c>
      <x:c r="O225" s="196" t="n">
        <x:f>F225-H225-I225</x:f>
        <x:v>0</x:v>
      </x:c>
    </x:row>
    <x:row r="226">
      <x:c r="A226" s="20" t="n">
        <x:v>19</x:v>
      </x:c>
      <x:c r="B226" s="20" t="n">
        <x:v>6</x:v>
      </x:c>
      <x:c r="C226" s="563" t="n">
        <x:f>'_計算月次'!$J$10</x:f>
        <x:v>448.7994857612148</x:v>
      </x:c>
      <x:c r="D226" s="563" t="n">
        <x:f>'_計算月次'!$K$10</x:f>
        <x:v>360</x:v>
      </x:c>
      <x:c r="E226" s="585" t="n">
        <x:f>(1-MAX(MIN('詳細設定'!$D$16,0.999999),0))^(A226-1)</x:f>
        <x:v>1</x:v>
      </x:c>
      <x:c r="F226" s="563" t="n">
        <x:f>MAX(C226*E226,0)</x:f>
        <x:v>448.7994857612148</x:v>
      </x:c>
      <x:c r="G226" s="563" t="n">
        <x:f>MAX(MIN('詳細設定'!$D$15,1),0)</x:f>
        <x:v>0.4</x:v>
      </x:c>
      <x:c r="H226" s="563" t="n">
        <x:f>MAX(MIN(F226*G226,D226),0)</x:f>
        <x:v>179.5197943044859</x:v>
      </x:c>
      <x:c r="I226" s="563" t="n">
        <x:f>MAX(F226-H226,0)</x:f>
        <x:v>269.27969145672887</x:v>
      </x:c>
      <x:c r="J226" s="185" t="n">
        <x:f>MAX('詳細設定'!$D$6,0)*(1+'詳細設定'!$D$21)^(A226-1)</x:f>
        <x:v>41.865161649033276</x:v>
      </x:c>
      <x:c r="K226" s="185" t="n">
        <x:f>IF(A226&lt;=MAX(MIN('詳細設定'!$D$8,20),0),MAX('詳細設定'!$D$7,0),IF(A226&lt;=MAX(MIN('詳細設定'!$D$10,20),0),MAX('詳細設定'!$D$9,0),MAX('詳細設定'!$D$11,0)))</x:f>
        <x:v>8.3</x:v>
      </x:c>
      <x:c r="L226" s="190" t="n">
        <x:f>H226*J226</x:f>
        <x:v>7515.625207758506</x:v>
      </x:c>
      <x:c r="M226" s="190" t="n">
        <x:f>I226*K226</x:f>
        <x:v>2235.02143909085</x:v>
      </x:c>
      <x:c r="N226" s="190" t="n">
        <x:f>L226+M226</x:f>
        <x:v>9750.646646849356</x:v>
      </x:c>
      <x:c r="O226" s="196" t="n">
        <x:f>F226-H226-I226</x:f>
        <x:v>0</x:v>
      </x:c>
    </x:row>
    <x:row r="227">
      <x:c r="A227" s="20" t="n">
        <x:v>19</x:v>
      </x:c>
      <x:c r="B227" s="20" t="n">
        <x:v>7</x:v>
      </x:c>
      <x:c r="C227" s="563" t="n">
        <x:f>'_計算月次'!$J$11</x:f>
        <x:v>476.0181638067866</x:v>
      </x:c>
      <x:c r="D227" s="563" t="n">
        <x:f>'_計算月次'!$K$11</x:f>
        <x:v>405</x:v>
      </x:c>
      <x:c r="E227" s="585" t="n">
        <x:f>(1-MAX(MIN('詳細設定'!$D$16,0.999999),0))^(A227-1)</x:f>
        <x:v>1</x:v>
      </x:c>
      <x:c r="F227" s="563" t="n">
        <x:f>MAX(C227*E227,0)</x:f>
        <x:v>476.0181638067866</x:v>
      </x:c>
      <x:c r="G227" s="563" t="n">
        <x:f>MAX(MIN('詳細設定'!$D$15,1),0)</x:f>
        <x:v>0.4</x:v>
      </x:c>
      <x:c r="H227" s="563" t="n">
        <x:f>MAX(MIN(F227*G227,D227),0)</x:f>
        <x:v>190.40726552271465</x:v>
      </x:c>
      <x:c r="I227" s="563" t="n">
        <x:f>MAX(F227-H227,0)</x:f>
        <x:v>285.61089828407194</x:v>
      </x:c>
      <x:c r="J227" s="185" t="n">
        <x:f>MAX('詳細設定'!$D$6,0)*(1+'詳細設定'!$D$21)^(A227-1)</x:f>
        <x:v>41.865161649033276</x:v>
      </x:c>
      <x:c r="K227" s="185" t="n">
        <x:f>IF(A227&lt;=MAX(MIN('詳細設定'!$D$8,20),0),MAX('詳細設定'!$D$7,0),IF(A227&lt;=MAX(MIN('詳細設定'!$D$10,20),0),MAX('詳細設定'!$D$9,0),MAX('詳細設定'!$D$11,0)))</x:f>
        <x:v>8.3</x:v>
      </x:c>
      <x:c r="L227" s="190" t="n">
        <x:f>H227*J227</x:f>
        <x:v>7971.430950258849</x:v>
      </x:c>
      <x:c r="M227" s="190" t="n">
        <x:f>I227*K227</x:f>
        <x:v>2370.5704557577974</x:v>
      </x:c>
      <x:c r="N227" s="190" t="n">
        <x:f>L227+M227</x:f>
        <x:v>10342.001406016647</x:v>
      </x:c>
      <x:c r="O227" s="196" t="n">
        <x:f>F227-H227-I227</x:f>
        <x:v>0</x:v>
      </x:c>
    </x:row>
    <x:row r="228">
      <x:c r="A228" s="20" t="n">
        <x:v>19</x:v>
      </x:c>
      <x:c r="B228" s="20" t="n">
        <x:v>8</x:v>
      </x:c>
      <x:c r="C228" s="563" t="n">
        <x:f>'_計算月次'!$J$12</x:f>
        <x:v>528.6548067323699</x:v>
      </x:c>
      <x:c r="D228" s="563" t="n">
        <x:f>'_計算月次'!$K$12</x:f>
        <x:v>450</x:v>
      </x:c>
      <x:c r="E228" s="585" t="n">
        <x:f>(1-MAX(MIN('詳細設定'!$D$16,0.999999),0))^(A228-1)</x:f>
        <x:v>1</x:v>
      </x:c>
      <x:c r="F228" s="563" t="n">
        <x:f>MAX(C228*E228,0)</x:f>
        <x:v>528.6548067323699</x:v>
      </x:c>
      <x:c r="G228" s="563" t="n">
        <x:f>MAX(MIN('詳細設定'!$D$15,1),0)</x:f>
        <x:v>0.4</x:v>
      </x:c>
      <x:c r="H228" s="563" t="n">
        <x:f>MAX(MIN(F228*G228,D228),0)</x:f>
        <x:v>211.46192269294798</x:v>
      </x:c>
      <x:c r="I228" s="563" t="n">
        <x:f>MAX(F228-H228,0)</x:f>
        <x:v>317.192884039422</x:v>
      </x:c>
      <x:c r="J228" s="185" t="n">
        <x:f>MAX('詳細設定'!$D$6,0)*(1+'詳細設定'!$D$21)^(A228-1)</x:f>
        <x:v>41.865161649033276</x:v>
      </x:c>
      <x:c r="K228" s="185" t="n">
        <x:f>IF(A228&lt;=MAX(MIN('詳細設定'!$D$8,20),0),MAX('詳細設定'!$D$7,0),IF(A228&lt;=MAX(MIN('詳細設定'!$D$10,20),0),MAX('詳細設定'!$D$9,0),MAX('詳細設定'!$D$11,0)))</x:f>
        <x:v>8.3</x:v>
      </x:c>
      <x:c r="L228" s="190" t="n">
        <x:f>H228*J228</x:f>
        <x:v>8852.887576155645</x:v>
      </x:c>
      <x:c r="M228" s="190" t="n">
        <x:f>I228*K228</x:f>
        <x:v>2632.7009375272028</x:v>
      </x:c>
      <x:c r="N228" s="190" t="n">
        <x:f>L228+M228</x:f>
        <x:v>11485.588513682847</x:v>
      </x:c>
      <x:c r="O228" s="196" t="n">
        <x:f>F228-H228-I228</x:f>
        <x:v>0</x:v>
      </x:c>
    </x:row>
    <x:row r="229">
      <x:c r="A229" s="20" t="n">
        <x:v>19</x:v>
      </x:c>
      <x:c r="B229" s="20" t="n">
        <x:v>9</x:v>
      </x:c>
      <x:c r="C229" s="563" t="n">
        <x:f>'_計算月次'!$J$13</x:f>
        <x:v>436.37734765103465</x:v>
      </x:c>
      <x:c r="D229" s="563" t="n">
        <x:f>'_計算月次'!$K$13</x:f>
        <x:v>360</x:v>
      </x:c>
      <x:c r="E229" s="585" t="n">
        <x:f>(1-MAX(MIN('詳細設定'!$D$16,0.999999),0))^(A229-1)</x:f>
        <x:v>1</x:v>
      </x:c>
      <x:c r="F229" s="563" t="n">
        <x:f>MAX(C229*E229,0)</x:f>
        <x:v>436.37734765103465</x:v>
      </x:c>
      <x:c r="G229" s="563" t="n">
        <x:f>MAX(MIN('詳細設定'!$D$15,1),0)</x:f>
        <x:v>0.4</x:v>
      </x:c>
      <x:c r="H229" s="563" t="n">
        <x:f>MAX(MIN(F229*G229,D229),0)</x:f>
        <x:v>174.55093906041387</x:v>
      </x:c>
      <x:c r="I229" s="563" t="n">
        <x:f>MAX(F229-H229,0)</x:f>
        <x:v>261.82640859062076</x:v>
      </x:c>
      <x:c r="J229" s="185" t="n">
        <x:f>MAX('詳細設定'!$D$6,0)*(1+'詳細設定'!$D$21)^(A229-1)</x:f>
        <x:v>41.865161649033276</x:v>
      </x:c>
      <x:c r="K229" s="185" t="n">
        <x:f>IF(A229&lt;=MAX(MIN('詳細設定'!$D$8,20),0),MAX('詳細設定'!$D$7,0),IF(A229&lt;=MAX(MIN('詳細設定'!$D$10,20),0),MAX('詳細設定'!$D$9,0),MAX('詳細設定'!$D$11,0)))</x:f>
        <x:v>8.3</x:v>
      </x:c>
      <x:c r="L229" s="190" t="n">
        <x:f>H229*J229</x:f>
        <x:v>7307.603279754783</x:v>
      </x:c>
      <x:c r="M229" s="190" t="n">
        <x:f>I229*K229</x:f>
        <x:v>2173.1591913021525</x:v>
      </x:c>
      <x:c r="N229" s="190" t="n">
        <x:f>L229+M229</x:f>
        <x:v>9480.762471056936</x:v>
      </x:c>
      <x:c r="O229" s="196" t="n">
        <x:f>F229-H229-I229</x:f>
        <x:v>0</x:v>
      </x:c>
    </x:row>
    <x:row r="230">
      <x:c r="A230" s="20" t="n">
        <x:v>19</x:v>
      </x:c>
      <x:c r="B230" s="20" t="n">
        <x:v>10</x:v>
      </x:c>
      <x:c r="C230" s="563" t="n">
        <x:f>'_計算月次'!$J$14</x:f>
        <x:v>408.8269849869007</x:v>
      </x:c>
      <x:c r="D230" s="563" t="n">
        <x:f>'_計算月次'!$K$14</x:f>
        <x:v>315.00000000000006</x:v>
      </x:c>
      <x:c r="E230" s="585" t="n">
        <x:f>(1-MAX(MIN('詳細設定'!$D$16,0.999999),0))^(A230-1)</x:f>
        <x:v>1</x:v>
      </x:c>
      <x:c r="F230" s="563" t="n">
        <x:f>MAX(C230*E230,0)</x:f>
        <x:v>408.8269849869007</x:v>
      </x:c>
      <x:c r="G230" s="563" t="n">
        <x:f>MAX(MIN('詳細設定'!$D$15,1),0)</x:f>
        <x:v>0.4</x:v>
      </x:c>
      <x:c r="H230" s="563" t="n">
        <x:f>MAX(MIN(F230*G230,D230),0)</x:f>
        <x:v>163.5307939947603</x:v>
      </x:c>
      <x:c r="I230" s="563" t="n">
        <x:f>MAX(F230-H230,0)</x:f>
        <x:v>245.2961909921404</x:v>
      </x:c>
      <x:c r="J230" s="185" t="n">
        <x:f>MAX('詳細設定'!$D$6,0)*(1+'詳細設定'!$D$21)^(A230-1)</x:f>
        <x:v>41.865161649033276</x:v>
      </x:c>
      <x:c r="K230" s="185" t="n">
        <x:f>IF(A230&lt;=MAX(MIN('詳細設定'!$D$8,20),0),MAX('詳細設定'!$D$7,0),IF(A230&lt;=MAX(MIN('詳細設定'!$D$10,20),0),MAX('詳細設定'!$D$9,0),MAX('詳細設定'!$D$11,0)))</x:f>
        <x:v>8.3</x:v>
      </x:c>
      <x:c r="L230" s="190" t="n">
        <x:f>H230*J230</x:f>
        <x:v>6846.2431251854005</x:v>
      </x:c>
      <x:c r="M230" s="190" t="n">
        <x:f>I230*K230</x:f>
        <x:v>2035.9583852347655</x:v>
      </x:c>
      <x:c r="N230" s="190" t="n">
        <x:f>L230+M230</x:f>
        <x:v>8882.201510420166</x:v>
      </x:c>
      <x:c r="O230" s="196" t="n">
        <x:f>F230-H230-I230</x:f>
        <x:v>0</x:v>
      </x:c>
    </x:row>
    <x:row r="231">
      <x:c r="A231" s="20" t="n">
        <x:v>19</x:v>
      </x:c>
      <x:c r="B231" s="20" t="n">
        <x:v>11</x:v>
      </x:c>
      <x:c r="C231" s="563" t="n">
        <x:f>'_計算月次'!$J$15</x:f>
        <x:v>398.45169764745054</x:v>
      </x:c>
      <x:c r="D231" s="563" t="n">
        <x:f>'_計算月次'!$K$15</x:f>
        <x:v>360</x:v>
      </x:c>
      <x:c r="E231" s="585" t="n">
        <x:f>(1-MAX(MIN('詳細設定'!$D$16,0.999999),0))^(A231-1)</x:f>
        <x:v>1</x:v>
      </x:c>
      <x:c r="F231" s="563" t="n">
        <x:f>MAX(C231*E231,0)</x:f>
        <x:v>398.45169764745054</x:v>
      </x:c>
      <x:c r="G231" s="563" t="n">
        <x:f>MAX(MIN('詳細設定'!$D$15,1),0)</x:f>
        <x:v>0.4</x:v>
      </x:c>
      <x:c r="H231" s="563" t="n">
        <x:f>MAX(MIN(F231*G231,D231),0)</x:f>
        <x:v>159.38067905898023</x:v>
      </x:c>
      <x:c r="I231" s="563" t="n">
        <x:f>MAX(F231-H231,0)</x:f>
        <x:v>239.0710185884703</x:v>
      </x:c>
      <x:c r="J231" s="185" t="n">
        <x:f>MAX('詳細設定'!$D$6,0)*(1+'詳細設定'!$D$21)^(A231-1)</x:f>
        <x:v>41.865161649033276</x:v>
      </x:c>
      <x:c r="K231" s="185" t="n">
        <x:f>IF(A231&lt;=MAX(MIN('詳細設定'!$D$8,20),0),MAX('詳細設定'!$D$7,0),IF(A231&lt;=MAX(MIN('詳細設定'!$D$10,20),0),MAX('詳細設定'!$D$9,0),MAX('詳細設定'!$D$11,0)))</x:f>
        <x:v>8.3</x:v>
      </x:c>
      <x:c r="L231" s="190" t="n">
        <x:f>H231*J231</x:f>
        <x:v>6672.4978925369005</x:v>
      </x:c>
      <x:c r="M231" s="190" t="n">
        <x:f>I231*K231</x:f>
        <x:v>1984.2894542843037</x:v>
      </x:c>
      <x:c r="N231" s="190" t="n">
        <x:f>L231+M231</x:f>
        <x:v>8656.787346821204</x:v>
      </x:c>
      <x:c r="O231" s="196" t="n">
        <x:f>F231-H231-I231</x:f>
        <x:v>0</x:v>
      </x:c>
    </x:row>
    <x:row r="232">
      <x:c r="A232" s="20" t="n">
        <x:v>19</x:v>
      </x:c>
      <x:c r="B232" s="20" t="n">
        <x:v>12</x:v>
      </x:c>
      <x:c r="C232" s="563" t="n">
        <x:f>'_計算月次'!$J$16</x:f>
        <x:v>443.97248688000184</x:v>
      </x:c>
      <x:c r="D232" s="563" t="n">
        <x:f>'_計算月次'!$K$16</x:f>
        <x:v>405</x:v>
      </x:c>
      <x:c r="E232" s="585" t="n">
        <x:f>(1-MAX(MIN('詳細設定'!$D$16,0.999999),0))^(A232-1)</x:f>
        <x:v>1</x:v>
      </x:c>
      <x:c r="F232" s="563" t="n">
        <x:f>MAX(C232*E232,0)</x:f>
        <x:v>443.97248688000184</x:v>
      </x:c>
      <x:c r="G232" s="563" t="n">
        <x:f>MAX(MIN('詳細設定'!$D$15,1),0)</x:f>
        <x:v>0.4</x:v>
      </x:c>
      <x:c r="H232" s="563" t="n">
        <x:f>MAX(MIN(F232*G232,D232),0)</x:f>
        <x:v>177.58899475200076</x:v>
      </x:c>
      <x:c r="I232" s="563" t="n">
        <x:f>MAX(F232-H232,0)</x:f>
        <x:v>266.3834921280011</x:v>
      </x:c>
      <x:c r="J232" s="185" t="n">
        <x:f>MAX('詳細設定'!$D$6,0)*(1+'詳細設定'!$D$21)^(A232-1)</x:f>
        <x:v>41.865161649033276</x:v>
      </x:c>
      <x:c r="K232" s="185" t="n">
        <x:f>IF(A232&lt;=MAX(MIN('詳細設定'!$D$8,20),0),MAX('詳細設定'!$D$7,0),IF(A232&lt;=MAX(MIN('詳細設定'!$D$10,20),0),MAX('詳細設定'!$D$9,0),MAX('詳細設定'!$D$11,0)))</x:f>
        <x:v>8.3</x:v>
      </x:c>
      <x:c r="L232" s="190" t="n">
        <x:f>H232*J232</x:f>
        <x:v>7434.791972381834</x:v>
      </x:c>
      <x:c r="M232" s="190" t="n">
        <x:f>I232*K232</x:f>
        <x:v>2210.9829846624093</x:v>
      </x:c>
      <x:c r="N232" s="190" t="n">
        <x:f>L232+M232</x:f>
        <x:v>9645.774957044243</x:v>
      </x:c>
      <x:c r="O232" s="196" t="n">
        <x:f>F232-H232-I232</x:f>
        <x:v>0</x:v>
      </x:c>
    </x:row>
    <x:row r="233">
      <x:c r="A233" s="20" t="n">
        <x:v>20</x:v>
      </x:c>
      <x:c r="B233" s="20" t="n">
        <x:v>1</x:v>
      </x:c>
      <x:c r="C233" s="563" t="n">
        <x:f>'_計算月次'!$J$5</x:f>
        <x:v>502.4147595742038</x:v>
      </x:c>
      <x:c r="D233" s="563" t="n">
        <x:f>'_計算月次'!$K$5</x:f>
        <x:v>450</x:v>
      </x:c>
      <x:c r="E233" s="585" t="n">
        <x:f>(1-MAX(MIN('詳細設定'!$D$16,0.999999),0))^(A233-1)</x:f>
        <x:v>1</x:v>
      </x:c>
      <x:c r="F233" s="563" t="n">
        <x:f>MAX(C233*E233,0)</x:f>
        <x:v>502.4147595742038</x:v>
      </x:c>
      <x:c r="G233" s="563" t="n">
        <x:f>MAX(MIN('詳細設定'!$D$15,1),0)</x:f>
        <x:v>0.4</x:v>
      </x:c>
      <x:c r="H233" s="563" t="n">
        <x:f>MAX(MIN(F233*G233,D233),0)</x:f>
        <x:v>200.96590382968154</x:v>
      </x:c>
      <x:c r="I233" s="563" t="n">
        <x:f>MAX(F233-H233,0)</x:f>
        <x:v>301.44885574452223</x:v>
      </x:c>
      <x:c r="J233" s="185" t="n">
        <x:f>MAX('詳細設定'!$D$6,0)*(1+'詳細設定'!$D$21)^(A233-1)</x:f>
        <x:v>42.283813265523605</x:v>
      </x:c>
      <x:c r="K233" s="185" t="n">
        <x:f>IF(A233&lt;=MAX(MIN('詳細設定'!$D$8,20),0),MAX('詳細設定'!$D$7,0),IF(A233&lt;=MAX(MIN('詳細設定'!$D$10,20),0),MAX('詳細設定'!$D$9,0),MAX('詳細設定'!$D$11,0)))</x:f>
        <x:v>8.3</x:v>
      </x:c>
      <x:c r="L233" s="190" t="n">
        <x:f>H233*J233</x:f>
        <x:v>8497.60475027143</x:v>
      </x:c>
      <x:c r="M233" s="190" t="n">
        <x:f>I233*K233</x:f>
        <x:v>2502.025502679535</x:v>
      </x:c>
      <x:c r="N233" s="190" t="n">
        <x:f>L233+M233</x:f>
        <x:v>10999.630252950965</x:v>
      </x:c>
      <x:c r="O233" s="196" t="n">
        <x:f>F233-H233-I233</x:f>
        <x:v>0</x:v>
      </x:c>
    </x:row>
    <x:row r="234">
      <x:c r="A234" s="20" t="n">
        <x:v>20</x:v>
      </x:c>
      <x:c r="B234" s="20" t="n">
        <x:v>2</x:v>
      </x:c>
      <x:c r="C234" s="563" t="n">
        <x:f>'_計算月次'!$J$6</x:f>
        <x:v>472.4508339500229</x:v>
      </x:c>
      <x:c r="D234" s="563" t="n">
        <x:f>'_計算月次'!$K$6</x:f>
        <x:v>405</x:v>
      </x:c>
      <x:c r="E234" s="585" t="n">
        <x:f>(1-MAX(MIN('詳細設定'!$D$16,0.999999),0))^(A234-1)</x:f>
        <x:v>1</x:v>
      </x:c>
      <x:c r="F234" s="563" t="n">
        <x:f>MAX(C234*E234,0)</x:f>
        <x:v>472.4508339500229</x:v>
      </x:c>
      <x:c r="G234" s="563" t="n">
        <x:f>MAX(MIN('詳細設定'!$D$15,1),0)</x:f>
        <x:v>0.4</x:v>
      </x:c>
      <x:c r="H234" s="563" t="n">
        <x:f>MAX(MIN(F234*G234,D234),0)</x:f>
        <x:v>188.9803335800092</x:v>
      </x:c>
      <x:c r="I234" s="563" t="n">
        <x:f>MAX(F234-H234,0)</x:f>
        <x:v>283.4705003700137</x:v>
      </x:c>
      <x:c r="J234" s="185" t="n">
        <x:f>MAX('詳細設定'!$D$6,0)*(1+'詳細設定'!$D$21)^(A234-1)</x:f>
        <x:v>42.283813265523605</x:v>
      </x:c>
      <x:c r="K234" s="185" t="n">
        <x:f>IF(A234&lt;=MAX(MIN('詳細設定'!$D$8,20),0),MAX('詳細設定'!$D$7,0),IF(A234&lt;=MAX(MIN('詳細設定'!$D$10,20),0),MAX('詳細設定'!$D$9,0),MAX('詳細設定'!$D$11,0)))</x:f>
        <x:v>8.3</x:v>
      </x:c>
      <x:c r="L234" s="190" t="n">
        <x:f>H234*J234</x:f>
        <x:v>7990.809135953468</x:v>
      </x:c>
      <x:c r="M234" s="190" t="n">
        <x:f>I234*K234</x:f>
        <x:v>2352.805153071114</x:v>
      </x:c>
      <x:c r="N234" s="190" t="n">
        <x:f>L234+M234</x:f>
        <x:v>10343.614289024583</x:v>
      </x:c>
      <x:c r="O234" s="196" t="n">
        <x:f>F234-H234-I234</x:f>
        <x:v>0</x:v>
      </x:c>
    </x:row>
    <x:row r="235">
      <x:c r="A235" s="20" t="n">
        <x:v>20</x:v>
      </x:c>
      <x:c r="B235" s="20" t="n">
        <x:v>3</x:v>
      </x:c>
      <x:c r="C235" s="563" t="n">
        <x:f>'_計算月次'!$J$7</x:f>
        <x:v>548.3418864753118</x:v>
      </x:c>
      <x:c r="D235" s="563" t="n">
        <x:f>'_計算月次'!$K$7</x:f>
        <x:v>360</x:v>
      </x:c>
      <x:c r="E235" s="585" t="n">
        <x:f>(1-MAX(MIN('詳細設定'!$D$16,0.999999),0))^(A235-1)</x:f>
        <x:v>1</x:v>
      </x:c>
      <x:c r="F235" s="563" t="n">
        <x:f>MAX(C235*E235,0)</x:f>
        <x:v>548.3418864753118</x:v>
      </x:c>
      <x:c r="G235" s="563" t="n">
        <x:f>MAX(MIN('詳細設定'!$D$15,1),0)</x:f>
        <x:v>0.4</x:v>
      </x:c>
      <x:c r="H235" s="563" t="n">
        <x:f>MAX(MIN(F235*G235,D235),0)</x:f>
        <x:v>219.3367545901247</x:v>
      </x:c>
      <x:c r="I235" s="563" t="n">
        <x:f>MAX(F235-H235,0)</x:f>
        <x:v>329.00513188518704</x:v>
      </x:c>
      <x:c r="J235" s="185" t="n">
        <x:f>MAX('詳細設定'!$D$6,0)*(1+'詳細設定'!$D$21)^(A235-1)</x:f>
        <x:v>42.283813265523605</x:v>
      </x:c>
      <x:c r="K235" s="185" t="n">
        <x:f>IF(A235&lt;=MAX(MIN('詳細設定'!$D$8,20),0),MAX('詳細設定'!$D$7,0),IF(A235&lt;=MAX(MIN('詳細設定'!$D$10,20),0),MAX('詳細設定'!$D$9,0),MAX('詳細設定'!$D$11,0)))</x:f>
        <x:v>8.3</x:v>
      </x:c>
      <x:c r="L235" s="190" t="n">
        <x:f>H235*J235</x:f>
        <x:v>9274.394373354811</x:v>
      </x:c>
      <x:c r="M235" s="190" t="n">
        <x:f>I235*K235</x:f>
        <x:v>2730.7425946470526</x:v>
      </x:c>
      <x:c r="N235" s="190" t="n">
        <x:f>L235+M235</x:f>
        <x:v>12005.136968001863</x:v>
      </x:c>
      <x:c r="O235" s="196" t="n">
        <x:f>F235-H235-I235</x:f>
        <x:v>0</x:v>
      </x:c>
    </x:row>
    <x:row r="236">
      <x:c r="A236" s="20" t="n">
        <x:v>20</x:v>
      </x:c>
      <x:c r="B236" s="20" t="n">
        <x:v>4</x:v>
      </x:c>
      <x:c r="C236" s="563" t="n">
        <x:f>'_計算月次'!$J$8</x:f>
        <x:v>548.3944393749554</x:v>
      </x:c>
      <x:c r="D236" s="563" t="n">
        <x:f>'_計算月次'!$K$8</x:f>
        <x:v>315.00000000000006</x:v>
      </x:c>
      <x:c r="E236" s="585" t="n">
        <x:f>(1-MAX(MIN('詳細設定'!$D$16,0.999999),0))^(A236-1)</x:f>
        <x:v>1</x:v>
      </x:c>
      <x:c r="F236" s="563" t="n">
        <x:f>MAX(C236*E236,0)</x:f>
        <x:v>548.3944393749554</x:v>
      </x:c>
      <x:c r="G236" s="563" t="n">
        <x:f>MAX(MIN('詳細設定'!$D$15,1),0)</x:f>
        <x:v>0.4</x:v>
      </x:c>
      <x:c r="H236" s="563" t="n">
        <x:f>MAX(MIN(F236*G236,D236),0)</x:f>
        <x:v>219.35777574998215</x:v>
      </x:c>
      <x:c r="I236" s="563" t="n">
        <x:f>MAX(F236-H236,0)</x:f>
        <x:v>329.03666362497324</x:v>
      </x:c>
      <x:c r="J236" s="185" t="n">
        <x:f>MAX('詳細設定'!$D$6,0)*(1+'詳細設定'!$D$21)^(A236-1)</x:f>
        <x:v>42.283813265523605</x:v>
      </x:c>
      <x:c r="K236" s="185" t="n">
        <x:f>IF(A236&lt;=MAX(MIN('詳細設定'!$D$8,20),0),MAX('詳細設定'!$D$7,0),IF(A236&lt;=MAX(MIN('詳細設定'!$D$10,20),0),MAX('詳細設定'!$D$9,0),MAX('詳細設定'!$D$11,0)))</x:f>
        <x:v>8.3</x:v>
      </x:c>
      <x:c r="L236" s="190" t="n">
        <x:f>H236*J236</x:f>
        <x:v>9275.283228152848</x:v>
      </x:c>
      <x:c r="M236" s="190" t="n">
        <x:f>I236*K236</x:f>
        <x:v>2731.0043080872783</x:v>
      </x:c>
      <x:c r="N236" s="190" t="n">
        <x:f>L236+M236</x:f>
        <x:v>12006.287536240126</x:v>
      </x:c>
      <x:c r="O236" s="196" t="n">
        <x:f>F236-H236-I236</x:f>
        <x:v>0</x:v>
      </x:c>
    </x:row>
    <x:row r="237">
      <x:c r="A237" s="20" t="n">
        <x:v>20</x:v>
      </x:c>
      <x:c r="B237" s="20" t="n">
        <x:v>5</x:v>
      </x:c>
      <x:c r="C237" s="563" t="n">
        <x:f>'_計算月次'!$J$9</x:f>
        <x:v>552.2367574934775</x:v>
      </x:c>
      <x:c r="D237" s="563" t="n">
        <x:f>'_計算月次'!$K$9</x:f>
        <x:v>315.00000000000006</x:v>
      </x:c>
      <x:c r="E237" s="585" t="n">
        <x:f>(1-MAX(MIN('詳細設定'!$D$16,0.999999),0))^(A237-1)</x:f>
        <x:v>1</x:v>
      </x:c>
      <x:c r="F237" s="563" t="n">
        <x:f>MAX(C237*E237,0)</x:f>
        <x:v>552.2367574934775</x:v>
      </x:c>
      <x:c r="G237" s="563" t="n">
        <x:f>MAX(MIN('詳細設定'!$D$15,1),0)</x:f>
        <x:v>0.4</x:v>
      </x:c>
      <x:c r="H237" s="563" t="n">
        <x:f>MAX(MIN(F237*G237,D237),0)</x:f>
        <x:v>220.89470299739102</x:v>
      </x:c>
      <x:c r="I237" s="563" t="n">
        <x:f>MAX(F237-H237,0)</x:f>
        <x:v>331.34205449608646</x:v>
      </x:c>
      <x:c r="J237" s="185" t="n">
        <x:f>MAX('詳細設定'!$D$6,0)*(1+'詳細設定'!$D$21)^(A237-1)</x:f>
        <x:v>42.283813265523605</x:v>
      </x:c>
      <x:c r="K237" s="185" t="n">
        <x:f>IF(A237&lt;=MAX(MIN('詳細設定'!$D$8,20),0),MAX('詳細設定'!$D$7,0),IF(A237&lt;=MAX(MIN('詳細設定'!$D$10,20),0),MAX('詳細設定'!$D$9,0),MAX('詳細設定'!$D$11,0)))</x:f>
        <x:v>8.3</x:v>
      </x:c>
      <x:c r="L237" s="190" t="n">
        <x:f>H237*J237</x:f>
        <x:v>9340.27037288498</x:v>
      </x:c>
      <x:c r="M237" s="190" t="n">
        <x:f>I237*K237</x:f>
        <x:v>2750.139052317518</x:v>
      </x:c>
      <x:c r="N237" s="190" t="n">
        <x:f>L237+M237</x:f>
        <x:v>12090.409425202497</x:v>
      </x:c>
      <x:c r="O237" s="196" t="n">
        <x:f>F237-H237-I237</x:f>
        <x:v>0</x:v>
      </x:c>
    </x:row>
    <x:row r="238">
      <x:c r="A238" s="20" t="n">
        <x:v>20</x:v>
      </x:c>
      <x:c r="B238" s="20" t="n">
        <x:v>6</x:v>
      </x:c>
      <x:c r="C238" s="563" t="n">
        <x:f>'_計算月次'!$J$10</x:f>
        <x:v>448.7994857612148</x:v>
      </x:c>
      <x:c r="D238" s="563" t="n">
        <x:f>'_計算月次'!$K$10</x:f>
        <x:v>360</x:v>
      </x:c>
      <x:c r="E238" s="585" t="n">
        <x:f>(1-MAX(MIN('詳細設定'!$D$16,0.999999),0))^(A238-1)</x:f>
        <x:v>1</x:v>
      </x:c>
      <x:c r="F238" s="563" t="n">
        <x:f>MAX(C238*E238,0)</x:f>
        <x:v>448.7994857612148</x:v>
      </x:c>
      <x:c r="G238" s="563" t="n">
        <x:f>MAX(MIN('詳細設定'!$D$15,1),0)</x:f>
        <x:v>0.4</x:v>
      </x:c>
      <x:c r="H238" s="563" t="n">
        <x:f>MAX(MIN(F238*G238,D238),0)</x:f>
        <x:v>179.5197943044859</x:v>
      </x:c>
      <x:c r="I238" s="563" t="n">
        <x:f>MAX(F238-H238,0)</x:f>
        <x:v>269.27969145672887</x:v>
      </x:c>
      <x:c r="J238" s="185" t="n">
        <x:f>MAX('詳細設定'!$D$6,0)*(1+'詳細設定'!$D$21)^(A238-1)</x:f>
        <x:v>42.283813265523605</x:v>
      </x:c>
      <x:c r="K238" s="185" t="n">
        <x:f>IF(A238&lt;=MAX(MIN('詳細設定'!$D$8,20),0),MAX('詳細設定'!$D$7,0),IF(A238&lt;=MAX(MIN('詳細設定'!$D$10,20),0),MAX('詳細設定'!$D$9,0),MAX('詳細設定'!$D$11,0)))</x:f>
        <x:v>8.3</x:v>
      </x:c>
      <x:c r="L238" s="190" t="n">
        <x:f>H238*J238</x:f>
        <x:v>7590.78145983609</x:v>
      </x:c>
      <x:c r="M238" s="190" t="n">
        <x:f>I238*K238</x:f>
        <x:v>2235.02143909085</x:v>
      </x:c>
      <x:c r="N238" s="190" t="n">
        <x:f>L238+M238</x:f>
        <x:v>9825.80289892694</x:v>
      </x:c>
      <x:c r="O238" s="196" t="n">
        <x:f>F238-H238-I238</x:f>
        <x:v>0</x:v>
      </x:c>
    </x:row>
    <x:row r="239">
      <x:c r="A239" s="20" t="n">
        <x:v>20</x:v>
      </x:c>
      <x:c r="B239" s="20" t="n">
        <x:v>7</x:v>
      </x:c>
      <x:c r="C239" s="563" t="n">
        <x:f>'_計算月次'!$J$11</x:f>
        <x:v>476.0181638067866</x:v>
      </x:c>
      <x:c r="D239" s="563" t="n">
        <x:f>'_計算月次'!$K$11</x:f>
        <x:v>405</x:v>
      </x:c>
      <x:c r="E239" s="585" t="n">
        <x:f>(1-MAX(MIN('詳細設定'!$D$16,0.999999),0))^(A239-1)</x:f>
        <x:v>1</x:v>
      </x:c>
      <x:c r="F239" s="563" t="n">
        <x:f>MAX(C239*E239,0)</x:f>
        <x:v>476.0181638067866</x:v>
      </x:c>
      <x:c r="G239" s="563" t="n">
        <x:f>MAX(MIN('詳細設定'!$D$15,1),0)</x:f>
        <x:v>0.4</x:v>
      </x:c>
      <x:c r="H239" s="563" t="n">
        <x:f>MAX(MIN(F239*G239,D239),0)</x:f>
        <x:v>190.40726552271465</x:v>
      </x:c>
      <x:c r="I239" s="563" t="n">
        <x:f>MAX(F239-H239,0)</x:f>
        <x:v>285.61089828407194</x:v>
      </x:c>
      <x:c r="J239" s="185" t="n">
        <x:f>MAX('詳細設定'!$D$6,0)*(1+'詳細設定'!$D$21)^(A239-1)</x:f>
        <x:v>42.283813265523605</x:v>
      </x:c>
      <x:c r="K239" s="185" t="n">
        <x:f>IF(A239&lt;=MAX(MIN('詳細設定'!$D$8,20),0),MAX('詳細設定'!$D$7,0),IF(A239&lt;=MAX(MIN('詳細設定'!$D$10,20),0),MAX('詳細設定'!$D$9,0),MAX('詳細設定'!$D$11,0)))</x:f>
        <x:v>8.3</x:v>
      </x:c>
      <x:c r="L239" s="190" t="n">
        <x:f>H239*J239</x:f>
        <x:v>8051.145259761437</x:v>
      </x:c>
      <x:c r="M239" s="190" t="n">
        <x:f>I239*K239</x:f>
        <x:v>2370.5704557577974</x:v>
      </x:c>
      <x:c r="N239" s="190" t="n">
        <x:f>L239+M239</x:f>
        <x:v>10421.715715519234</x:v>
      </x:c>
      <x:c r="O239" s="196" t="n">
        <x:f>F239-H239-I239</x:f>
        <x:v>0</x:v>
      </x:c>
    </x:row>
    <x:row r="240">
      <x:c r="A240" s="20" t="n">
        <x:v>20</x:v>
      </x:c>
      <x:c r="B240" s="20" t="n">
        <x:v>8</x:v>
      </x:c>
      <x:c r="C240" s="563" t="n">
        <x:f>'_計算月次'!$J$12</x:f>
        <x:v>528.6548067323699</x:v>
      </x:c>
      <x:c r="D240" s="563" t="n">
        <x:f>'_計算月次'!$K$12</x:f>
        <x:v>450</x:v>
      </x:c>
      <x:c r="E240" s="585" t="n">
        <x:f>(1-MAX(MIN('詳細設定'!$D$16,0.999999),0))^(A240-1)</x:f>
        <x:v>1</x:v>
      </x:c>
      <x:c r="F240" s="563" t="n">
        <x:f>MAX(C240*E240,0)</x:f>
        <x:v>528.6548067323699</x:v>
      </x:c>
      <x:c r="G240" s="563" t="n">
        <x:f>MAX(MIN('詳細設定'!$D$15,1),0)</x:f>
        <x:v>0.4</x:v>
      </x:c>
      <x:c r="H240" s="563" t="n">
        <x:f>MAX(MIN(F240*G240,D240),0)</x:f>
        <x:v>211.46192269294798</x:v>
      </x:c>
      <x:c r="I240" s="563" t="n">
        <x:f>MAX(F240-H240,0)</x:f>
        <x:v>317.192884039422</x:v>
      </x:c>
      <x:c r="J240" s="185" t="n">
        <x:f>MAX('詳細設定'!$D$6,0)*(1+'詳細設定'!$D$21)^(A240-1)</x:f>
        <x:v>42.283813265523605</x:v>
      </x:c>
      <x:c r="K240" s="185" t="n">
        <x:f>IF(A240&lt;=MAX(MIN('詳細設定'!$D$8,20),0),MAX('詳細設定'!$D$7,0),IF(A240&lt;=MAX(MIN('詳細設定'!$D$10,20),0),MAX('詳細設定'!$D$9,0),MAX('詳細設定'!$D$11,0)))</x:f>
        <x:v>8.3</x:v>
      </x:c>
      <x:c r="L240" s="190" t="n">
        <x:f>H240*J240</x:f>
        <x:v>8941.4164519172</x:v>
      </x:c>
      <x:c r="M240" s="190" t="n">
        <x:f>I240*K240</x:f>
        <x:v>2632.7009375272028</x:v>
      </x:c>
      <x:c r="N240" s="190" t="n">
        <x:f>L240+M240</x:f>
        <x:v>11574.117389444404</x:v>
      </x:c>
      <x:c r="O240" s="196" t="n">
        <x:f>F240-H240-I240</x:f>
        <x:v>0</x:v>
      </x:c>
    </x:row>
    <x:row r="241">
      <x:c r="A241" s="20" t="n">
        <x:v>20</x:v>
      </x:c>
      <x:c r="B241" s="20" t="n">
        <x:v>9</x:v>
      </x:c>
      <x:c r="C241" s="563" t="n">
        <x:f>'_計算月次'!$J$13</x:f>
        <x:v>436.37734765103465</x:v>
      </x:c>
      <x:c r="D241" s="563" t="n">
        <x:f>'_計算月次'!$K$13</x:f>
        <x:v>360</x:v>
      </x:c>
      <x:c r="E241" s="585" t="n">
        <x:f>(1-MAX(MIN('詳細設定'!$D$16,0.999999),0))^(A241-1)</x:f>
        <x:v>1</x:v>
      </x:c>
      <x:c r="F241" s="563" t="n">
        <x:f>MAX(C241*E241,0)</x:f>
        <x:v>436.37734765103465</x:v>
      </x:c>
      <x:c r="G241" s="563" t="n">
        <x:f>MAX(MIN('詳細設定'!$D$15,1),0)</x:f>
        <x:v>0.4</x:v>
      </x:c>
      <x:c r="H241" s="563" t="n">
        <x:f>MAX(MIN(F241*G241,D241),0)</x:f>
        <x:v>174.55093906041387</x:v>
      </x:c>
      <x:c r="I241" s="563" t="n">
        <x:f>MAX(F241-H241,0)</x:f>
        <x:v>261.82640859062076</x:v>
      </x:c>
      <x:c r="J241" s="185" t="n">
        <x:f>MAX('詳細設定'!$D$6,0)*(1+'詳細設定'!$D$21)^(A241-1)</x:f>
        <x:v>42.283813265523605</x:v>
      </x:c>
      <x:c r="K241" s="185" t="n">
        <x:f>IF(A241&lt;=MAX(MIN('詳細設定'!$D$8,20),0),MAX('詳細設定'!$D$7,0),IF(A241&lt;=MAX(MIN('詳細設定'!$D$10,20),0),MAX('詳細設定'!$D$9,0),MAX('詳細設定'!$D$11,0)))</x:f>
        <x:v>8.3</x:v>
      </x:c>
      <x:c r="L241" s="190" t="n">
        <x:f>H241*J241</x:f>
        <x:v>7380.67931255233</x:v>
      </x:c>
      <x:c r="M241" s="190" t="n">
        <x:f>I241*K241</x:f>
        <x:v>2173.1591913021525</x:v>
      </x:c>
      <x:c r="N241" s="190" t="n">
        <x:f>L241+M241</x:f>
        <x:v>9553.838503854482</x:v>
      </x:c>
      <x:c r="O241" s="196" t="n">
        <x:f>F241-H241-I241</x:f>
        <x:v>0</x:v>
      </x:c>
    </x:row>
    <x:row r="242">
      <x:c r="A242" s="20" t="n">
        <x:v>20</x:v>
      </x:c>
      <x:c r="B242" s="20" t="n">
        <x:v>10</x:v>
      </x:c>
      <x:c r="C242" s="563" t="n">
        <x:f>'_計算月次'!$J$14</x:f>
        <x:v>408.8269849869007</x:v>
      </x:c>
      <x:c r="D242" s="563" t="n">
        <x:f>'_計算月次'!$K$14</x:f>
        <x:v>315.00000000000006</x:v>
      </x:c>
      <x:c r="E242" s="585" t="n">
        <x:f>(1-MAX(MIN('詳細設定'!$D$16,0.999999),0))^(A242-1)</x:f>
        <x:v>1</x:v>
      </x:c>
      <x:c r="F242" s="563" t="n">
        <x:f>MAX(C242*E242,0)</x:f>
        <x:v>408.8269849869007</x:v>
      </x:c>
      <x:c r="G242" s="563" t="n">
        <x:f>MAX(MIN('詳細設定'!$D$15,1),0)</x:f>
        <x:v>0.4</x:v>
      </x:c>
      <x:c r="H242" s="563" t="n">
        <x:f>MAX(MIN(F242*G242,D242),0)</x:f>
        <x:v>163.5307939947603</x:v>
      </x:c>
      <x:c r="I242" s="563" t="n">
        <x:f>MAX(F242-H242,0)</x:f>
        <x:v>245.2961909921404</x:v>
      </x:c>
      <x:c r="J242" s="185" t="n">
        <x:f>MAX('詳細設定'!$D$6,0)*(1+'詳細設定'!$D$21)^(A242-1)</x:f>
        <x:v>42.283813265523605</x:v>
      </x:c>
      <x:c r="K242" s="185" t="n">
        <x:f>IF(A242&lt;=MAX(MIN('詳細設定'!$D$8,20),0),MAX('詳細設定'!$D$7,0),IF(A242&lt;=MAX(MIN('詳細設定'!$D$10,20),0),MAX('詳細設定'!$D$9,0),MAX('詳細設定'!$D$11,0)))</x:f>
        <x:v>8.3</x:v>
      </x:c>
      <x:c r="L242" s="190" t="n">
        <x:f>H242*J242</x:f>
        <x:v>6914.705556437253</x:v>
      </x:c>
      <x:c r="M242" s="190" t="n">
        <x:f>I242*K242</x:f>
        <x:v>2035.9583852347655</x:v>
      </x:c>
      <x:c r="N242" s="190" t="n">
        <x:f>L242+M242</x:f>
        <x:v>8950.663941672019</x:v>
      </x:c>
      <x:c r="O242" s="196" t="n">
        <x:f>F242-H242-I242</x:f>
        <x:v>0</x:v>
      </x:c>
    </x:row>
    <x:row r="243">
      <x:c r="A243" s="20" t="n">
        <x:v>20</x:v>
      </x:c>
      <x:c r="B243" s="20" t="n">
        <x:v>11</x:v>
      </x:c>
      <x:c r="C243" s="563" t="n">
        <x:f>'_計算月次'!$J$15</x:f>
        <x:v>398.45169764745054</x:v>
      </x:c>
      <x:c r="D243" s="563" t="n">
        <x:f>'_計算月次'!$K$15</x:f>
        <x:v>360</x:v>
      </x:c>
      <x:c r="E243" s="585" t="n">
        <x:f>(1-MAX(MIN('詳細設定'!$D$16,0.999999),0))^(A243-1)</x:f>
        <x:v>1</x:v>
      </x:c>
      <x:c r="F243" s="563" t="n">
        <x:f>MAX(C243*E243,0)</x:f>
        <x:v>398.45169764745054</x:v>
      </x:c>
      <x:c r="G243" s="563" t="n">
        <x:f>MAX(MIN('詳細設定'!$D$15,1),0)</x:f>
        <x:v>0.4</x:v>
      </x:c>
      <x:c r="H243" s="563" t="n">
        <x:f>MAX(MIN(F243*G243,D243),0)</x:f>
        <x:v>159.38067905898023</x:v>
      </x:c>
      <x:c r="I243" s="563" t="n">
        <x:f>MAX(F243-H243,0)</x:f>
        <x:v>239.0710185884703</x:v>
      </x:c>
      <x:c r="J243" s="185" t="n">
        <x:f>MAX('詳細設定'!$D$6,0)*(1+'詳細設定'!$D$21)^(A243-1)</x:f>
        <x:v>42.283813265523605</x:v>
      </x:c>
      <x:c r="K243" s="185" t="n">
        <x:f>IF(A243&lt;=MAX(MIN('詳細設定'!$D$8,20),0),MAX('詳細設定'!$D$7,0),IF(A243&lt;=MAX(MIN('詳細設定'!$D$10,20),0),MAX('詳細設定'!$D$9,0),MAX('詳細設定'!$D$11,0)))</x:f>
        <x:v>8.3</x:v>
      </x:c>
      <x:c r="L243" s="190" t="n">
        <x:f>H243*J243</x:f>
        <x:v>6739.222871462269</x:v>
      </x:c>
      <x:c r="M243" s="190" t="n">
        <x:f>I243*K243</x:f>
        <x:v>1984.2894542843037</x:v>
      </x:c>
      <x:c r="N243" s="190" t="n">
        <x:f>L243+M243</x:f>
        <x:v>8723.512325746573</x:v>
      </x:c>
      <x:c r="O243" s="196" t="n">
        <x:f>F243-H243-I243</x:f>
        <x:v>0</x:v>
      </x:c>
    </x:row>
    <x:row r="244">
      <x:c r="A244" s="20" t="n">
        <x:v>20</x:v>
      </x:c>
      <x:c r="B244" s="20" t="n">
        <x:v>12</x:v>
      </x:c>
      <x:c r="C244" s="563" t="n">
        <x:f>'_計算月次'!$J$16</x:f>
        <x:v>443.97248688000184</x:v>
      </x:c>
      <x:c r="D244" s="563" t="n">
        <x:f>'_計算月次'!$K$16</x:f>
        <x:v>405</x:v>
      </x:c>
      <x:c r="E244" s="585" t="n">
        <x:f>(1-MAX(MIN('詳細設定'!$D$16,0.999999),0))^(A244-1)</x:f>
        <x:v>1</x:v>
      </x:c>
      <x:c r="F244" s="563" t="n">
        <x:f>MAX(C244*E244,0)</x:f>
        <x:v>443.97248688000184</x:v>
      </x:c>
      <x:c r="G244" s="563" t="n">
        <x:f>MAX(MIN('詳細設定'!$D$15,1),0)</x:f>
        <x:v>0.4</x:v>
      </x:c>
      <x:c r="H244" s="563" t="n">
        <x:f>MAX(MIN(F244*G244,D244),0)</x:f>
        <x:v>177.58899475200076</x:v>
      </x:c>
      <x:c r="I244" s="563" t="n">
        <x:f>MAX(F244-H244,0)</x:f>
        <x:v>266.3834921280011</x:v>
      </x:c>
      <x:c r="J244" s="185" t="n">
        <x:f>MAX('詳細設定'!$D$6,0)*(1+'詳細設定'!$D$21)^(A244-1)</x:f>
        <x:v>42.283813265523605</x:v>
      </x:c>
      <x:c r="K244" s="185" t="n">
        <x:f>IF(A244&lt;=MAX(MIN('詳細設定'!$D$8,20),0),MAX('詳細設定'!$D$7,0),IF(A244&lt;=MAX(MIN('詳細設定'!$D$10,20),0),MAX('詳細設定'!$D$9,0),MAX('詳細設定'!$D$11,0)))</x:f>
        <x:v>8.3</x:v>
      </x:c>
      <x:c r="L244" s="190" t="n">
        <x:f>H244*J244</x:f>
        <x:v>7509.139892105652</x:v>
      </x:c>
      <x:c r="M244" s="190" t="n">
        <x:f>I244*K244</x:f>
        <x:v>2210.9829846624093</x:v>
      </x:c>
      <x:c r="N244" s="190" t="n">
        <x:f>L244+M244</x:f>
        <x:v>9720.12287676806</x:v>
      </x:c>
      <x:c r="O244" s="196" t="n">
        <x:f>F244-H244-I244</x:f>
        <x:v>0</x:v>
      </x:c>
    </x:row>
    <x:row r="245">
      <x:c r="A245" s="527"/>
      <x:c r="B245" s="527"/>
      <x:c r="C245" s="527"/>
      <x:c r="D245" s="527"/>
      <x:c r="E245" s="527"/>
      <x:c r="F245" s="527"/>
      <x:c r="G245" s="527"/>
      <x:c r="H245" s="527"/>
      <x:c r="I245" s="527"/>
      <x:c r="J245" s="527"/>
      <x:c r="K245" s="527"/>
      <x:c r="L245" s="527"/>
      <x:c r="M245" s="527"/>
      <x:c r="N245" s="527"/>
      <x:c r="O245" s="527"/>
    </x:row>
    <x:row r="246">
      <x:c r="A246" s="527"/>
      <x:c r="B246" s="527"/>
      <x:c r="C246" s="527"/>
      <x:c r="D246" s="527"/>
      <x:c r="E246" s="527"/>
      <x:c r="F246" s="527"/>
      <x:c r="G246" s="527"/>
      <x:c r="H246" s="527"/>
      <x:c r="I246" s="527"/>
      <x:c r="J246" s="527"/>
      <x:c r="K246" s="527"/>
      <x:c r="L246" s="527"/>
      <x:c r="M246" s="527"/>
      <x:c r="N246" s="527"/>
      <x:c r="O246" s="527"/>
    </x:row>
  </x:sheetData>
  <x:sheetProtection sheet="1" objects="0" scenarios="1" formatCells="1" formatColumns="1" formatRows="1" insertColumns="1" insertRows="1" insertHyperlinks="1" deleteColumns="1" deleteRows="1" selectLockedCells="0" selectUnlockedCells="0"/>
  <x:mergeCells>
    <x:mergeCell ref="A1:O2"/>
    <x:mergeCell ref="A3:O3"/>
  </x:mergeCells>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10" hidden="0" customWidth="1"/>
    <x:col min="13" max="13" width="10" hidden="0" customWidth="1"/>
    <x:col min="14" max="14" width="10"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5" max="15" width="13" hidden="0" customWidth="1"/>
    <x:col min="16" max="16" width="13" hidden="0" customWidth="1"/>
  </x:cols>
  <x:sheetData>
    <x:row r="1">
      <x:c r="A1" s="526" t="str">
        <x:v>内部計算｜初期費用＋20年キャッシュフロー</x:v>
      </x:c>
      <x:c r="B1" s="526"/>
      <x:c r="C1" s="526"/>
      <x:c r="D1" s="526"/>
      <x:c r="E1" s="526"/>
      <x:c r="F1" s="526"/>
      <x:c r="G1" s="526"/>
      <x:c r="H1" s="526"/>
      <x:c r="I1" s="526"/>
      <x:c r="J1" s="526"/>
      <x:c r="K1" s="526"/>
      <x:c r="L1" s="526"/>
      <x:c r="M1" s="526"/>
      <x:c r="N1" s="526"/>
      <x:c r="O1" s="526"/>
      <x:c r="P1" s="526"/>
    </x:row>
    <x:row r="2">
      <x:c r="A2" s="526"/>
      <x:c r="B2" s="526"/>
      <x:c r="C2" s="526"/>
      <x:c r="D2" s="526"/>
      <x:c r="E2" s="526"/>
      <x:c r="F2" s="526"/>
      <x:c r="G2" s="526"/>
      <x:c r="H2" s="526"/>
      <x:c r="I2" s="526"/>
      <x:c r="J2" s="526"/>
      <x:c r="K2" s="526"/>
      <x:c r="L2" s="526"/>
      <x:c r="M2" s="526"/>
      <x:c r="N2" s="526"/>
      <x:c r="O2" s="526"/>
      <x:c r="P2" s="526"/>
    </x:row>
    <x:row r="3">
      <x:c r="A3" s="8" t="str">
        <x:v>年0は正味初期負担。各年は240か月表から集計し、FIT境界・PCS交換・追加劣化を反映します。</x:v>
      </x:c>
      <x:c r="B3" s="8"/>
      <x:c r="C3" s="8"/>
      <x:c r="D3" s="8"/>
      <x:c r="E3" s="8"/>
      <x:c r="F3" s="8"/>
      <x:c r="G3" s="8"/>
      <x:c r="H3" s="8"/>
      <x:c r="I3" s="8"/>
      <x:c r="J3" s="8"/>
      <x:c r="K3" s="8"/>
      <x:c r="L3" s="8"/>
      <x:c r="M3" s="8"/>
      <x:c r="N3" s="8"/>
      <x:c r="O3" s="8"/>
      <x:c r="P3" s="8"/>
    </x:row>
    <x:row r="4">
      <x:c r="A4" s="13" t="str">
        <x:v>年</x:v>
      </x:c>
      <x:c r="B4" s="13" t="str">
        <x:v>発電kWh</x:v>
      </x:c>
      <x:c r="C4" s="13" t="str">
        <x:v>自家消費kWh</x:v>
      </x:c>
      <x:c r="D4" s="13" t="str">
        <x:v>売電kWh</x:v>
      </x:c>
      <x:c r="E4" s="13" t="str">
        <x:v>買電単価</x:v>
      </x:c>
      <x:c r="F4" s="13" t="str">
        <x:v>売電単価</x:v>
      </x:c>
      <x:c r="G4" s="13" t="str">
        <x:v>電気代削減</x:v>
      </x:c>
      <x:c r="H4" s="13" t="str">
        <x:v>売電収入</x:v>
      </x:c>
      <x:c r="I4" s="13" t="str">
        <x:v>O&amp;M</x:v>
      </x:c>
      <x:c r="J4" s="13" t="str">
        <x:v>PCS交換</x:v>
      </x:c>
      <x:c r="K4" s="13" t="str">
        <x:v>年CF</x:v>
      </x:c>
      <x:c r="L4" s="13" t="str">
        <x:v>累積CF</x:v>
      </x:c>
      <x:c r="M4" s="13" t="str">
        <x:v>恒久回収候補年</x:v>
      </x:c>
      <x:c r="N4" s="13" t="str">
        <x:v>自給率</x:v>
      </x:c>
      <x:c r="O4" s="13" t="str">
        <x:v>発電収支残差</x:v>
      </x:c>
      <x:c r="P4" s="13" t="str">
        <x:v>前年比増加</x:v>
      </x:c>
    </x:row>
    <x:row r="5">
      <x:c r="A5" s="586" t="n">
        <x:v>0</x:v>
      </x:c>
      <x:c r="B5" s="587" t="n">
        <x:v>0</x:v>
      </x:c>
      <x:c r="C5" s="587" t="n">
        <x:v>0</x:v>
      </x:c>
      <x:c r="D5" s="587" t="n">
        <x:v>0</x:v>
      </x:c>
      <x:c r="E5" s="588" t="n">
        <x:v>0</x:v>
      </x:c>
      <x:c r="F5" s="588" t="n">
        <x:v>0</x:v>
      </x:c>
      <x:c r="G5" s="589" t="n">
        <x:v>0</x:v>
      </x:c>
      <x:c r="H5" s="589" t="n">
        <x:v>0</x:v>
      </x:c>
      <x:c r="I5" s="589" t="n">
        <x:v>0</x:v>
      </x:c>
      <x:c r="J5" s="589" t="n">
        <x:v>0</x:v>
      </x:c>
      <x:c r="K5" s="589" t="n">
        <x:f>IF(AND('_設定'!$J$23=1,'3分入力'!$D$8&gt;0),-'_設定'!$F$23,0)</x:f>
        <x:v>-1500000</x:v>
      </x:c>
      <x:c r="L5" s="589" t="n">
        <x:f>K5</x:f>
        <x:v>-1500000</x:v>
      </x:c>
      <x:c r="M5" s="590"/>
      <x:c r="N5" s="591" t="n">
        <x:v>0</x:v>
      </x:c>
      <x:c r="O5" s="592" t="n">
        <x:v>0</x:v>
      </x:c>
      <x:c r="P5" s="592" t="n">
        <x:v>0</x:v>
      </x:c>
    </x:row>
    <x:row r="6">
      <x:c r="A6" s="20" t="n">
        <x:v>1</x:v>
      </x:c>
      <x:c r="B6" s="563" t="n">
        <x:f>SUM('_計算240'!$F$5:$F$16)</x:f>
        <x:v>5764.939650333731</x:v>
      </x:c>
      <x:c r="C6" s="563" t="n">
        <x:f>SUM('_計算240'!$H$5:$H$16)</x:f>
        <x:v>2305.9758601334925</x:v>
      </x:c>
      <x:c r="D6" s="563" t="n">
        <x:f>SUM('_計算240'!$I$5:$I$16)</x:f>
        <x:v>3458.9637902002387</x:v>
      </x:c>
      <x:c r="E6" s="185" t="n">
        <x:f>'_計算240'!$J$5</x:f>
        <x:v>35</x:v>
      </x:c>
      <x:c r="F6" s="185" t="n">
        <x:f>'_計算240'!$K$5</x:f>
        <x:v>24</x:v>
      </x:c>
      <x:c r="G6" s="190" t="n">
        <x:f>SUM('_計算240'!$L$5:$L$16)</x:f>
        <x:v>80709.15510467225</x:v>
      </x:c>
      <x:c r="H6" s="190" t="n">
        <x:f>SUM('_計算240'!$M$5:$M$16)</x:f>
        <x:v>83015.13096480572</x:v>
      </x:c>
      <x:c r="I6" s="190" t="n">
        <x:f>IF(AND('_設定'!$J$23=1,'3分入力'!$D$8&gt;0),MAX('詳細設定'!$D$17,0),0)</x:f>
        <x:v>0</x:v>
      </x:c>
      <x:c r="J6" s="190" t="n">
        <x:f>IF(AND('_設定'!$J$23=1,'3分入力'!$D$8&gt;0,A6='詳細設定'!$D$18),MAX('詳細設定'!$D$19,0),0)</x:f>
        <x:v>0</x:v>
      </x:c>
      <x:c r="K6" s="190" t="n">
        <x:f>G6+H6-I6-J6</x:f>
        <x:v>163724.28606947797</x:v>
      </x:c>
      <x:c r="L6" s="190" t="n">
        <x:f>L5+K6</x:f>
        <x:v>-1336275.713930522</x:v>
      </x:c>
      <x:c r="M6" s="186" t="str">
        <x:f>IF(AND(L6&gt;=0,MIN(L6:$L$25)&gt;=0),A6,"")</x:f>
      </x:c>
      <x:c r="N6" s="189" t="n">
        <x:f>IF(MAX('3分入力'!$D$10,0)=0,0,C6/MAX('3分入力'!$D$10,0))</x:f>
        <x:v>0.512439080029665</x:v>
      </x:c>
      <x:c r="O6" s="196" t="n">
        <x:f>B6-C6-D6</x:f>
        <x:v>0</x:v>
      </x:c>
      <x:c r="P6" s="196" t="n">
        <x:f>0</x:f>
        <x:v>0</x:v>
      </x:c>
    </x:row>
    <x:row r="7">
      <x:c r="A7" s="20" t="n">
        <x:v>2</x:v>
      </x:c>
      <x:c r="B7" s="563" t="n">
        <x:f>SUM('_計算240'!$F$17:$F$28)</x:f>
        <x:v>5764.939650333731</x:v>
      </x:c>
      <x:c r="C7" s="563" t="n">
        <x:f>SUM('_計算240'!$H$17:$H$28)</x:f>
        <x:v>2305.9758601334925</x:v>
      </x:c>
      <x:c r="D7" s="563" t="n">
        <x:f>SUM('_計算240'!$I$17:$I$28)</x:f>
        <x:v>3458.9637902002387</x:v>
      </x:c>
      <x:c r="E7" s="185" t="n">
        <x:f>'_計算240'!$J$17</x:f>
        <x:v>35.35</x:v>
      </x:c>
      <x:c r="F7" s="185" t="n">
        <x:f>'_計算240'!$K$17</x:f>
        <x:v>24</x:v>
      </x:c>
      <x:c r="G7" s="190" t="n">
        <x:f>SUM('_計算240'!$L$17:$L$28)</x:f>
        <x:v>81516.24665571895</x:v>
      </x:c>
      <x:c r="H7" s="190" t="n">
        <x:f>SUM('_計算240'!$M$17:$M$28)</x:f>
        <x:v>83015.13096480572</x:v>
      </x:c>
      <x:c r="I7" s="190" t="n">
        <x:f>IF(AND('_設定'!$J$23=1,'3分入力'!$D$8&gt;0),MAX('詳細設定'!$D$17,0),0)</x:f>
        <x:v>0</x:v>
      </x:c>
      <x:c r="J7" s="190" t="n">
        <x:f>IF(AND('_設定'!$J$23=1,'3分入力'!$D$8&gt;0,A7='詳細設定'!$D$18),MAX('詳細設定'!$D$19,0),0)</x:f>
        <x:v>0</x:v>
      </x:c>
      <x:c r="K7" s="190" t="n">
        <x:f>G7+H7-I7-J7</x:f>
        <x:v>164531.37762052467</x:v>
      </x:c>
      <x:c r="L7" s="190" t="n">
        <x:f>L6+K7</x:f>
        <x:v>-1171744.3363099974</x:v>
      </x:c>
      <x:c r="M7" s="186" t="str">
        <x:f>IF(AND(L7&gt;=0,MIN(L7:$L$25)&gt;=0),A7,"")</x:f>
      </x:c>
      <x:c r="N7" s="189" t="n">
        <x:f>IF(MAX('3分入力'!$D$10,0)=0,0,C7/MAX('3分入力'!$D$10,0))</x:f>
        <x:v>0.512439080029665</x:v>
      </x:c>
      <x:c r="O7" s="196" t="n">
        <x:f>B7-C7-D7</x:f>
        <x:v>0</x:v>
      </x:c>
      <x:c r="P7" s="196" t="n">
        <x:f>MAX(B7-B6,0)</x:f>
        <x:v>0</x:v>
      </x:c>
    </x:row>
    <x:row r="8">
      <x:c r="A8" s="20" t="n">
        <x:v>3</x:v>
      </x:c>
      <x:c r="B8" s="563" t="n">
        <x:f>SUM('_計算240'!$F$29:$F$40)</x:f>
        <x:v>5764.939650333731</x:v>
      </x:c>
      <x:c r="C8" s="563" t="n">
        <x:f>SUM('_計算240'!$H$29:$H$40)</x:f>
        <x:v>2305.9758601334925</x:v>
      </x:c>
      <x:c r="D8" s="563" t="n">
        <x:f>SUM('_計算240'!$I$29:$I$40)</x:f>
        <x:v>3458.9637902002387</x:v>
      </x:c>
      <x:c r="E8" s="185" t="n">
        <x:f>'_計算240'!$J$29</x:f>
        <x:v>35.7035</x:v>
      </x:c>
      <x:c r="F8" s="185" t="n">
        <x:f>'_計算240'!$K$29</x:f>
        <x:v>24</x:v>
      </x:c>
      <x:c r="G8" s="190" t="n">
        <x:f>SUM('_計算240'!$L$29:$L$40)</x:f>
        <x:v>82331.40912227613</x:v>
      </x:c>
      <x:c r="H8" s="190" t="n">
        <x:f>SUM('_計算240'!$M$29:$M$40)</x:f>
        <x:v>83015.13096480572</x:v>
      </x:c>
      <x:c r="I8" s="190" t="n">
        <x:f>IF(AND('_設定'!$J$23=1,'3分入力'!$D$8&gt;0),MAX('詳細設定'!$D$17,0),0)</x:f>
        <x:v>0</x:v>
      </x:c>
      <x:c r="J8" s="190" t="n">
        <x:f>IF(AND('_設定'!$J$23=1,'3分入力'!$D$8&gt;0,A8='詳細設定'!$D$18),MAX('詳細設定'!$D$19,0),0)</x:f>
        <x:v>0</x:v>
      </x:c>
      <x:c r="K8" s="190" t="n">
        <x:f>G8+H8-I8-J8</x:f>
        <x:v>165346.54008708184</x:v>
      </x:c>
      <x:c r="L8" s="190" t="n">
        <x:f>L7+K8</x:f>
        <x:v>-1006397.7962229155</x:v>
      </x:c>
      <x:c r="M8" s="186" t="str">
        <x:f>IF(AND(L8&gt;=0,MIN(L8:$L$25)&gt;=0),A8,"")</x:f>
      </x:c>
      <x:c r="N8" s="189" t="n">
        <x:f>IF(MAX('3分入力'!$D$10,0)=0,0,C8/MAX('3分入力'!$D$10,0))</x:f>
        <x:v>0.512439080029665</x:v>
      </x:c>
      <x:c r="O8" s="196" t="n">
        <x:f>B8-C8-D8</x:f>
        <x:v>0</x:v>
      </x:c>
      <x:c r="P8" s="196" t="n">
        <x:f>MAX(B8-B7,0)</x:f>
        <x:v>0</x:v>
      </x:c>
    </x:row>
    <x:row r="9">
      <x:c r="A9" s="20" t="n">
        <x:v>4</x:v>
      </x:c>
      <x:c r="B9" s="563" t="n">
        <x:f>SUM('_計算240'!$F$41:$F$52)</x:f>
        <x:v>5764.939650333731</x:v>
      </x:c>
      <x:c r="C9" s="563" t="n">
        <x:f>SUM('_計算240'!$H$41:$H$52)</x:f>
        <x:v>2305.9758601334925</x:v>
      </x:c>
      <x:c r="D9" s="563" t="n">
        <x:f>SUM('_計算240'!$I$41:$I$52)</x:f>
        <x:v>3458.9637902002387</x:v>
      </x:c>
      <x:c r="E9" s="185" t="n">
        <x:f>'_計算240'!$J$41</x:f>
        <x:v>36.060535</x:v>
      </x:c>
      <x:c r="F9" s="185" t="n">
        <x:f>'_計算240'!$K$41</x:f>
        <x:v>24</x:v>
      </x:c>
      <x:c r="G9" s="190" t="n">
        <x:f>SUM('_計算240'!$L$41:$L$52)</x:f>
        <x:v>83154.7232134989</x:v>
      </x:c>
      <x:c r="H9" s="190" t="n">
        <x:f>SUM('_計算240'!$M$41:$M$52)</x:f>
        <x:v>83015.13096480572</x:v>
      </x:c>
      <x:c r="I9" s="190" t="n">
        <x:f>IF(AND('_設定'!$J$23=1,'3分入力'!$D$8&gt;0),MAX('詳細設定'!$D$17,0),0)</x:f>
        <x:v>0</x:v>
      </x:c>
      <x:c r="J9" s="190" t="n">
        <x:f>IF(AND('_設定'!$J$23=1,'3分入力'!$D$8&gt;0,A9='詳細設定'!$D$18),MAX('詳細設定'!$D$19,0),0)</x:f>
        <x:v>0</x:v>
      </x:c>
      <x:c r="K9" s="190" t="n">
        <x:f>G9+H9-I9-J9</x:f>
        <x:v>166169.8541783046</x:v>
      </x:c>
      <x:c r="L9" s="190" t="n">
        <x:f>L8+K9</x:f>
        <x:v>-840227.9420446109</x:v>
      </x:c>
      <x:c r="M9" s="186" t="str">
        <x:f>IF(AND(L9&gt;=0,MIN(L9:$L$25)&gt;=0),A9,"")</x:f>
      </x:c>
      <x:c r="N9" s="189" t="n">
        <x:f>IF(MAX('3分入力'!$D$10,0)=0,0,C9/MAX('3分入力'!$D$10,0))</x:f>
        <x:v>0.512439080029665</x:v>
      </x:c>
      <x:c r="O9" s="196" t="n">
        <x:f>B9-C9-D9</x:f>
        <x:v>0</x:v>
      </x:c>
      <x:c r="P9" s="196" t="n">
        <x:f>MAX(B9-B8,0)</x:f>
        <x:v>0</x:v>
      </x:c>
    </x:row>
    <x:row r="10">
      <x:c r="A10" s="20" t="n">
        <x:v>5</x:v>
      </x:c>
      <x:c r="B10" s="563" t="n">
        <x:f>SUM('_計算240'!$F$53:$F$64)</x:f>
        <x:v>5764.939650333731</x:v>
      </x:c>
      <x:c r="C10" s="563" t="n">
        <x:f>SUM('_計算240'!$H$53:$H$64)</x:f>
        <x:v>2305.9758601334925</x:v>
      </x:c>
      <x:c r="D10" s="563" t="n">
        <x:f>SUM('_計算240'!$I$53:$I$64)</x:f>
        <x:v>3458.9637902002387</x:v>
      </x:c>
      <x:c r="E10" s="185" t="n">
        <x:f>'_計算240'!$J$53</x:f>
        <x:v>36.42114035</x:v>
      </x:c>
      <x:c r="F10" s="185" t="n">
        <x:f>'_計算240'!$K$53</x:f>
        <x:v>8.3</x:v>
      </x:c>
      <x:c r="G10" s="190" t="n">
        <x:f>SUM('_計算240'!$L$53:$L$64)</x:f>
        <x:v>83986.2704456339</x:v>
      </x:c>
      <x:c r="H10" s="190" t="n">
        <x:f>SUM('_計算240'!$M$53:$M$64)</x:f>
        <x:v>28709.399458661974</x:v>
      </x:c>
      <x:c r="I10" s="190" t="n">
        <x:f>IF(AND('_設定'!$J$23=1,'3分入力'!$D$8&gt;0),MAX('詳細設定'!$D$17,0),0)</x:f>
        <x:v>0</x:v>
      </x:c>
      <x:c r="J10" s="190" t="n">
        <x:f>IF(AND('_設定'!$J$23=1,'3分入力'!$D$8&gt;0,A10='詳細設定'!$D$18),MAX('詳細設定'!$D$19,0),0)</x:f>
        <x:v>0</x:v>
      </x:c>
      <x:c r="K10" s="190" t="n">
        <x:f>G10+H10-I10-J10</x:f>
        <x:v>112695.66990429588</x:v>
      </x:c>
      <x:c r="L10" s="190" t="n">
        <x:f>L9+K10</x:f>
        <x:v>-727532.272140315</x:v>
      </x:c>
      <x:c r="M10" s="186" t="str">
        <x:f>IF(AND(L10&gt;=0,MIN(L10:$L$25)&gt;=0),A10,"")</x:f>
      </x:c>
      <x:c r="N10" s="189" t="n">
        <x:f>IF(MAX('3分入力'!$D$10,0)=0,0,C10/MAX('3分入力'!$D$10,0))</x:f>
        <x:v>0.512439080029665</x:v>
      </x:c>
      <x:c r="O10" s="196" t="n">
        <x:f>B10-C10-D10</x:f>
        <x:v>0</x:v>
      </x:c>
      <x:c r="P10" s="196" t="n">
        <x:f>MAX(B10-B9,0)</x:f>
        <x:v>0</x:v>
      </x:c>
    </x:row>
    <x:row r="11">
      <x:c r="A11" s="20" t="n">
        <x:v>6</x:v>
      </x:c>
      <x:c r="B11" s="563" t="n">
        <x:f>SUM('_計算240'!$F$65:$F$76)</x:f>
        <x:v>5764.939650333731</x:v>
      </x:c>
      <x:c r="C11" s="563" t="n">
        <x:f>SUM('_計算240'!$H$65:$H$76)</x:f>
        <x:v>2305.9758601334925</x:v>
      </x:c>
      <x:c r="D11" s="563" t="n">
        <x:f>SUM('_計算240'!$I$65:$I$76)</x:f>
        <x:v>3458.9637902002387</x:v>
      </x:c>
      <x:c r="E11" s="185" t="n">
        <x:f>'_計算240'!$J$65</x:f>
        <x:v>36.7853517535</x:v>
      </x:c>
      <x:c r="F11" s="185" t="n">
        <x:f>'_計算240'!$K$65</x:f>
        <x:v>8.3</x:v>
      </x:c>
      <x:c r="G11" s="190" t="n">
        <x:f>SUM('_計算240'!$L$65:$L$76)</x:f>
        <x:v>84826.13315009025</x:v>
      </x:c>
      <x:c r="H11" s="190" t="n">
        <x:f>SUM('_計算240'!$M$65:$M$76)</x:f>
        <x:v>28709.399458661974</x:v>
      </x:c>
      <x:c r="I11" s="190" t="n">
        <x:f>IF(AND('_設定'!$J$23=1,'3分入力'!$D$8&gt;0),MAX('詳細設定'!$D$17,0),0)</x:f>
        <x:v>0</x:v>
      </x:c>
      <x:c r="J11" s="190" t="n">
        <x:f>IF(AND('_設定'!$J$23=1,'3分入力'!$D$8&gt;0,A11='詳細設定'!$D$18),MAX('詳細設定'!$D$19,0),0)</x:f>
        <x:v>0</x:v>
      </x:c>
      <x:c r="K11" s="190" t="n">
        <x:f>G11+H11-I11-J11</x:f>
        <x:v>113535.53260875223</x:v>
      </x:c>
      <x:c r="L11" s="190" t="n">
        <x:f>L10+K11</x:f>
        <x:v>-613996.7395315628</x:v>
      </x:c>
      <x:c r="M11" s="186" t="str">
        <x:f>IF(AND(L11&gt;=0,MIN(L11:$L$25)&gt;=0),A11,"")</x:f>
      </x:c>
      <x:c r="N11" s="189" t="n">
        <x:f>IF(MAX('3分入力'!$D$10,0)=0,0,C11/MAX('3分入力'!$D$10,0))</x:f>
        <x:v>0.512439080029665</x:v>
      </x:c>
      <x:c r="O11" s="196" t="n">
        <x:f>B11-C11-D11</x:f>
        <x:v>0</x:v>
      </x:c>
      <x:c r="P11" s="196" t="n">
        <x:f>MAX(B11-B10,0)</x:f>
        <x:v>0</x:v>
      </x:c>
    </x:row>
    <x:row r="12">
      <x:c r="A12" s="20" t="n">
        <x:v>7</x:v>
      </x:c>
      <x:c r="B12" s="563" t="n">
        <x:f>SUM('_計算240'!$F$77:$F$88)</x:f>
        <x:v>5764.939650333731</x:v>
      </x:c>
      <x:c r="C12" s="563" t="n">
        <x:f>SUM('_計算240'!$H$77:$H$88)</x:f>
        <x:v>2305.9758601334925</x:v>
      </x:c>
      <x:c r="D12" s="563" t="n">
        <x:f>SUM('_計算240'!$I$77:$I$88)</x:f>
        <x:v>3458.9637902002387</x:v>
      </x:c>
      <x:c r="E12" s="185" t="n">
        <x:f>'_計算240'!$J$77</x:f>
        <x:v>37.153205271035006</x:v>
      </x:c>
      <x:c r="F12" s="185" t="n">
        <x:f>'_計算240'!$K$77</x:f>
        <x:v>8.3</x:v>
      </x:c>
      <x:c r="G12" s="190" t="n">
        <x:f>SUM('_計算240'!$L$77:$L$88)</x:f>
        <x:v>85674.39448159114</x:v>
      </x:c>
      <x:c r="H12" s="190" t="n">
        <x:f>SUM('_計算240'!$M$77:$M$88)</x:f>
        <x:v>28709.399458661974</x:v>
      </x:c>
      <x:c r="I12" s="190" t="n">
        <x:f>IF(AND('_設定'!$J$23=1,'3分入力'!$D$8&gt;0),MAX('詳細設定'!$D$17,0),0)</x:f>
        <x:v>0</x:v>
      </x:c>
      <x:c r="J12" s="190" t="n">
        <x:f>IF(AND('_設定'!$J$23=1,'3分入力'!$D$8&gt;0,A12='詳細設定'!$D$18),MAX('詳細設定'!$D$19,0),0)</x:f>
        <x:v>0</x:v>
      </x:c>
      <x:c r="K12" s="190" t="n">
        <x:f>G12+H12-I12-J12</x:f>
        <x:v>114383.79394025312</x:v>
      </x:c>
      <x:c r="L12" s="190" t="n">
        <x:f>L11+K12</x:f>
        <x:v>-499612.9455913097</x:v>
      </x:c>
      <x:c r="M12" s="186" t="str">
        <x:f>IF(AND(L12&gt;=0,MIN(L12:$L$25)&gt;=0),A12,"")</x:f>
      </x:c>
      <x:c r="N12" s="189" t="n">
        <x:f>IF(MAX('3分入力'!$D$10,0)=0,0,C12/MAX('3分入力'!$D$10,0))</x:f>
        <x:v>0.512439080029665</x:v>
      </x:c>
      <x:c r="O12" s="196" t="n">
        <x:f>B12-C12-D12</x:f>
        <x:v>0</x:v>
      </x:c>
      <x:c r="P12" s="196" t="n">
        <x:f>MAX(B12-B11,0)</x:f>
        <x:v>0</x:v>
      </x:c>
    </x:row>
    <x:row r="13">
      <x:c r="A13" s="20" t="n">
        <x:v>8</x:v>
      </x:c>
      <x:c r="B13" s="563" t="n">
        <x:f>SUM('_計算240'!$F$89:$F$100)</x:f>
        <x:v>5764.939650333731</x:v>
      </x:c>
      <x:c r="C13" s="563" t="n">
        <x:f>SUM('_計算240'!$H$89:$H$100)</x:f>
        <x:v>2305.9758601334925</x:v>
      </x:c>
      <x:c r="D13" s="563" t="n">
        <x:f>SUM('_計算240'!$I$89:$I$100)</x:f>
        <x:v>3458.9637902002387</x:v>
      </x:c>
      <x:c r="E13" s="185" t="n">
        <x:f>'_計算240'!$J$89</x:f>
        <x:v>37.52473732374535</x:v>
      </x:c>
      <x:c r="F13" s="185" t="n">
        <x:f>'_計算240'!$K$89</x:f>
        <x:v>8.3</x:v>
      </x:c>
      <x:c r="G13" s="190" t="n">
        <x:f>SUM('_計算240'!$L$89:$L$100)</x:f>
        <x:v>86531.13842640704</x:v>
      </x:c>
      <x:c r="H13" s="190" t="n">
        <x:f>SUM('_計算240'!$M$89:$M$100)</x:f>
        <x:v>28709.399458661974</x:v>
      </x:c>
      <x:c r="I13" s="190" t="n">
        <x:f>IF(AND('_設定'!$J$23=1,'3分入力'!$D$8&gt;0),MAX('詳細設定'!$D$17,0),0)</x:f>
        <x:v>0</x:v>
      </x:c>
      <x:c r="J13" s="190" t="n">
        <x:f>IF(AND('_設定'!$J$23=1,'3分入力'!$D$8&gt;0,A13='詳細設定'!$D$18),MAX('詳細設定'!$D$19,0),0)</x:f>
        <x:v>0</x:v>
      </x:c>
      <x:c r="K13" s="190" t="n">
        <x:f>G13+H13-I13-J13</x:f>
        <x:v>115240.537885069</x:v>
      </x:c>
      <x:c r="L13" s="190" t="n">
        <x:f>L12+K13</x:f>
        <x:v>-384372.40770624066</x:v>
      </x:c>
      <x:c r="M13" s="186" t="str">
        <x:f>IF(AND(L13&gt;=0,MIN(L13:$L$25)&gt;=0),A13,"")</x:f>
      </x:c>
      <x:c r="N13" s="189" t="n">
        <x:f>IF(MAX('3分入力'!$D$10,0)=0,0,C13/MAX('3分入力'!$D$10,0))</x:f>
        <x:v>0.512439080029665</x:v>
      </x:c>
      <x:c r="O13" s="196" t="n">
        <x:f>B13-C13-D13</x:f>
        <x:v>0</x:v>
      </x:c>
      <x:c r="P13" s="196" t="n">
        <x:f>MAX(B13-B12,0)</x:f>
        <x:v>0</x:v>
      </x:c>
    </x:row>
    <x:row r="14">
      <x:c r="A14" s="20" t="n">
        <x:v>9</x:v>
      </x:c>
      <x:c r="B14" s="563" t="n">
        <x:f>SUM('_計算240'!$F$101:$F$112)</x:f>
        <x:v>5764.939650333731</x:v>
      </x:c>
      <x:c r="C14" s="563" t="n">
        <x:f>SUM('_計算240'!$H$101:$H$112)</x:f>
        <x:v>2305.9758601334925</x:v>
      </x:c>
      <x:c r="D14" s="563" t="n">
        <x:f>SUM('_計算240'!$I$101:$I$112)</x:f>
        <x:v>3458.9637902002387</x:v>
      </x:c>
      <x:c r="E14" s="185" t="n">
        <x:f>'_計算240'!$J$101</x:f>
        <x:v>37.899984696982806</x:v>
      </x:c>
      <x:c r="F14" s="185" t="n">
        <x:f>'_計算240'!$K$101</x:f>
        <x:v>8.3</x:v>
      </x:c>
      <x:c r="G14" s="190" t="n">
        <x:f>SUM('_計算240'!$L$101:$L$112)</x:f>
        <x:v>87396.44981067113</x:v>
      </x:c>
      <x:c r="H14" s="190" t="n">
        <x:f>SUM('_計算240'!$M$101:$M$112)</x:f>
        <x:v>28709.399458661974</x:v>
      </x:c>
      <x:c r="I14" s="190" t="n">
        <x:f>IF(AND('_設定'!$J$23=1,'3分入力'!$D$8&gt;0),MAX('詳細設定'!$D$17,0),0)</x:f>
        <x:v>0</x:v>
      </x:c>
      <x:c r="J14" s="190" t="n">
        <x:f>IF(AND('_設定'!$J$23=1,'3分入力'!$D$8&gt;0,A14='詳細設定'!$D$18),MAX('詳細設定'!$D$19,0),0)</x:f>
        <x:v>0</x:v>
      </x:c>
      <x:c r="K14" s="190" t="n">
        <x:f>G14+H14-I14-J14</x:f>
        <x:v>116105.84926933309</x:v>
      </x:c>
      <x:c r="L14" s="190" t="n">
        <x:f>L13+K14</x:f>
        <x:v>-268266.5584369076</x:v>
      </x:c>
      <x:c r="M14" s="186" t="str">
        <x:f>IF(AND(L14&gt;=0,MIN(L14:$L$25)&gt;=0),A14,"")</x:f>
      </x:c>
      <x:c r="N14" s="189" t="n">
        <x:f>IF(MAX('3分入力'!$D$10,0)=0,0,C14/MAX('3分入力'!$D$10,0))</x:f>
        <x:v>0.512439080029665</x:v>
      </x:c>
      <x:c r="O14" s="196" t="n">
        <x:f>B14-C14-D14</x:f>
        <x:v>0</x:v>
      </x:c>
      <x:c r="P14" s="196" t="n">
        <x:f>MAX(B14-B13,0)</x:f>
        <x:v>0</x:v>
      </x:c>
    </x:row>
    <x:row r="15">
      <x:c r="A15" s="20" t="n">
        <x:v>10</x:v>
      </x:c>
      <x:c r="B15" s="563" t="n">
        <x:f>SUM('_計算240'!$F$113:$F$124)</x:f>
        <x:v>5764.939650333731</x:v>
      </x:c>
      <x:c r="C15" s="563" t="n">
        <x:f>SUM('_計算240'!$H$113:$H$124)</x:f>
        <x:v>2305.9758601334925</x:v>
      </x:c>
      <x:c r="D15" s="563" t="n">
        <x:f>SUM('_計算240'!$I$113:$I$124)</x:f>
        <x:v>3458.9637902002387</x:v>
      </x:c>
      <x:c r="E15" s="185" t="n">
        <x:f>'_計算240'!$J$113</x:f>
        <x:v>38.27898454395263</x:v>
      </x:c>
      <x:c r="F15" s="185" t="n">
        <x:f>'_計算240'!$K$113</x:f>
        <x:v>8.3</x:v>
      </x:c>
      <x:c r="G15" s="190" t="n">
        <x:f>SUM('_計算240'!$L$113:$L$124)</x:f>
        <x:v>88270.41430877782</x:v>
      </x:c>
      <x:c r="H15" s="190" t="n">
        <x:f>SUM('_計算240'!$M$113:$M$124)</x:f>
        <x:v>28709.399458661974</x:v>
      </x:c>
      <x:c r="I15" s="190" t="n">
        <x:f>IF(AND('_設定'!$J$23=1,'3分入力'!$D$8&gt;0),MAX('詳細設定'!$D$17,0),0)</x:f>
        <x:v>0</x:v>
      </x:c>
      <x:c r="J15" s="190" t="n">
        <x:f>IF(AND('_設定'!$J$23=1,'3分入力'!$D$8&gt;0,A15='詳細設定'!$D$18),MAX('詳細設定'!$D$19,0),0)</x:f>
        <x:v>0</x:v>
      </x:c>
      <x:c r="K15" s="190" t="n">
        <x:f>G15+H15-I15-J15</x:f>
        <x:v>116979.8137674398</x:v>
      </x:c>
      <x:c r="L15" s="190" t="n">
        <x:f>L14+K15</x:f>
        <x:v>-151286.7446694678</x:v>
      </x:c>
      <x:c r="M15" s="186" t="str">
        <x:f>IF(AND(L15&gt;=0,MIN(L15:$L$25)&gt;=0),A15,"")</x:f>
      </x:c>
      <x:c r="N15" s="189" t="n">
        <x:f>IF(MAX('3分入力'!$D$10,0)=0,0,C15/MAX('3分入力'!$D$10,0))</x:f>
        <x:v>0.512439080029665</x:v>
      </x:c>
      <x:c r="O15" s="196" t="n">
        <x:f>B15-C15-D15</x:f>
        <x:v>0</x:v>
      </x:c>
      <x:c r="P15" s="196" t="n">
        <x:f>MAX(B15-B14,0)</x:f>
        <x:v>0</x:v>
      </x:c>
    </x:row>
    <x:row r="16">
      <x:c r="A16" s="20" t="n">
        <x:v>11</x:v>
      </x:c>
      <x:c r="B16" s="563" t="n">
        <x:f>SUM('_計算240'!$F$125:$F$136)</x:f>
        <x:v>5764.939650333731</x:v>
      </x:c>
      <x:c r="C16" s="563" t="n">
        <x:f>SUM('_計算240'!$H$125:$H$136)</x:f>
        <x:v>2305.9758601334925</x:v>
      </x:c>
      <x:c r="D16" s="563" t="n">
        <x:f>SUM('_計算240'!$I$125:$I$136)</x:f>
        <x:v>3458.9637902002387</x:v>
      </x:c>
      <x:c r="E16" s="185" t="n">
        <x:f>'_計算240'!$J$125</x:f>
        <x:v>38.66177438939216</x:v>
      </x:c>
      <x:c r="F16" s="185" t="n">
        <x:f>'_計算240'!$K$125</x:f>
        <x:v>8.3</x:v>
      </x:c>
      <x:c r="G16" s="190" t="n">
        <x:f>SUM('_計算240'!$L$125:$L$136)</x:f>
        <x:v>89153.11845186561</x:v>
      </x:c>
      <x:c r="H16" s="190" t="n">
        <x:f>SUM('_計算240'!$M$125:$M$136)</x:f>
        <x:v>28709.399458661974</x:v>
      </x:c>
      <x:c r="I16" s="190" t="n">
        <x:f>IF(AND('_設定'!$J$23=1,'3分入力'!$D$8&gt;0),MAX('詳細設定'!$D$17,0),0)</x:f>
        <x:v>0</x:v>
      </x:c>
      <x:c r="J16" s="190" t="n">
        <x:f>IF(AND('_設定'!$J$23=1,'3分入力'!$D$8&gt;0,A16='詳細設定'!$D$18),MAX('詳細設定'!$D$19,0),0)</x:f>
        <x:v>0</x:v>
      </x:c>
      <x:c r="K16" s="190" t="n">
        <x:f>G16+H16-I16-J16</x:f>
        <x:v>117862.51791052759</x:v>
      </x:c>
      <x:c r="L16" s="190" t="n">
        <x:f>L15+K16</x:f>
        <x:v>-33424.2267589402</x:v>
      </x:c>
      <x:c r="M16" s="186" t="str">
        <x:f>IF(AND(L16&gt;=0,MIN(L16:$L$25)&gt;=0),A16,"")</x:f>
      </x:c>
      <x:c r="N16" s="189" t="n">
        <x:f>IF(MAX('3分入力'!$D$10,0)=0,0,C16/MAX('3分入力'!$D$10,0))</x:f>
        <x:v>0.512439080029665</x:v>
      </x:c>
      <x:c r="O16" s="196" t="n">
        <x:f>B16-C16-D16</x:f>
        <x:v>0</x:v>
      </x:c>
      <x:c r="P16" s="196" t="n">
        <x:f>MAX(B16-B15,0)</x:f>
        <x:v>0</x:v>
      </x:c>
    </x:row>
    <x:row r="17">
      <x:c r="A17" s="20" t="n">
        <x:v>12</x:v>
      </x:c>
      <x:c r="B17" s="563" t="n">
        <x:f>SUM('_計算240'!$F$137:$F$148)</x:f>
        <x:v>5764.939650333731</x:v>
      </x:c>
      <x:c r="C17" s="563" t="n">
        <x:f>SUM('_計算240'!$H$137:$H$148)</x:f>
        <x:v>2305.9758601334925</x:v>
      </x:c>
      <x:c r="D17" s="563" t="n">
        <x:f>SUM('_計算240'!$I$137:$I$148)</x:f>
        <x:v>3458.9637902002387</x:v>
      </x:c>
      <x:c r="E17" s="185" t="n">
        <x:f>'_計算240'!$J$137</x:f>
        <x:v>39.04839213328608</x:v>
      </x:c>
      <x:c r="F17" s="185" t="n">
        <x:f>'_計算240'!$K$137</x:f>
        <x:v>8.3</x:v>
      </x:c>
      <x:c r="G17" s="190" t="n">
        <x:f>SUM('_計算240'!$L$137:$L$148)</x:f>
        <x:v>90044.64963638425</x:v>
      </x:c>
      <x:c r="H17" s="190" t="n">
        <x:f>SUM('_計算240'!$M$137:$M$148)</x:f>
        <x:v>28709.399458661974</x:v>
      </x:c>
      <x:c r="I17" s="190" t="n">
        <x:f>IF(AND('_設定'!$J$23=1,'3分入力'!$D$8&gt;0),MAX('詳細設定'!$D$17,0),0)</x:f>
        <x:v>0</x:v>
      </x:c>
      <x:c r="J17" s="190" t="n">
        <x:f>IF(AND('_設定'!$J$23=1,'3分入力'!$D$8&gt;0,A17='詳細設定'!$D$18),MAX('詳細設定'!$D$19,0),0)</x:f>
        <x:v>250000</x:v>
      </x:c>
      <x:c r="K17" s="190" t="n">
        <x:f>G17+H17-I17-J17</x:f>
        <x:v>-131245.9509049538</x:v>
      </x:c>
      <x:c r="L17" s="190" t="n">
        <x:f>L16+K17</x:f>
        <x:v>-164670.177663894</x:v>
      </x:c>
      <x:c r="M17" s="186" t="str">
        <x:f>IF(AND(L17&gt;=0,MIN(L17:$L$25)&gt;=0),A17,"")</x:f>
      </x:c>
      <x:c r="N17" s="189" t="n">
        <x:f>IF(MAX('3分入力'!$D$10,0)=0,0,C17/MAX('3分入力'!$D$10,0))</x:f>
        <x:v>0.512439080029665</x:v>
      </x:c>
      <x:c r="O17" s="196" t="n">
        <x:f>B17-C17-D17</x:f>
        <x:v>0</x:v>
      </x:c>
      <x:c r="P17" s="196" t="n">
        <x:f>MAX(B17-B16,0)</x:f>
        <x:v>0</x:v>
      </x:c>
    </x:row>
    <x:row r="18">
      <x:c r="A18" s="20" t="n">
        <x:v>13</x:v>
      </x:c>
      <x:c r="B18" s="563" t="n">
        <x:f>SUM('_計算240'!$F$149:$F$160)</x:f>
        <x:v>5764.939650333731</x:v>
      </x:c>
      <x:c r="C18" s="563" t="n">
        <x:f>SUM('_計算240'!$H$149:$H$160)</x:f>
        <x:v>2305.9758601334925</x:v>
      </x:c>
      <x:c r="D18" s="563" t="n">
        <x:f>SUM('_計算240'!$I$149:$I$160)</x:f>
        <x:v>3458.9637902002387</x:v>
      </x:c>
      <x:c r="E18" s="185" t="n">
        <x:f>'_計算240'!$J$149</x:f>
        <x:v>39.438876054618945</x:v>
      </x:c>
      <x:c r="F18" s="185" t="n">
        <x:f>'_計算240'!$K$149</x:f>
        <x:v>8.3</x:v>
      </x:c>
      <x:c r="G18" s="190" t="n">
        <x:f>SUM('_計算240'!$L$149:$L$160)</x:f>
        <x:v>90945.0961327481</x:v>
      </x:c>
      <x:c r="H18" s="190" t="n">
        <x:f>SUM('_計算240'!$M$149:$M$160)</x:f>
        <x:v>28709.399458661974</x:v>
      </x:c>
      <x:c r="I18" s="190" t="n">
        <x:f>IF(AND('_設定'!$J$23=1,'3分入力'!$D$8&gt;0),MAX('詳細設定'!$D$17,0),0)</x:f>
        <x:v>0</x:v>
      </x:c>
      <x:c r="J18" s="190" t="n">
        <x:f>IF(AND('_設定'!$J$23=1,'3分入力'!$D$8&gt;0,A18='詳細設定'!$D$18),MAX('詳細設定'!$D$19,0),0)</x:f>
        <x:v>0</x:v>
      </x:c>
      <x:c r="K18" s="190" t="n">
        <x:f>G18+H18-I18-J18</x:f>
        <x:v>119654.49559141009</x:v>
      </x:c>
      <x:c r="L18" s="190" t="n">
        <x:f>L17+K18</x:f>
        <x:v>-45015.682072483905</x:v>
      </x:c>
      <x:c r="M18" s="186" t="str">
        <x:f>IF(AND(L18&gt;=0,MIN(L18:$L$25)&gt;=0),A18,"")</x:f>
      </x:c>
      <x:c r="N18" s="189" t="n">
        <x:f>IF(MAX('3分入力'!$D$10,0)=0,0,C18/MAX('3分入力'!$D$10,0))</x:f>
        <x:v>0.512439080029665</x:v>
      </x:c>
      <x:c r="O18" s="196" t="n">
        <x:f>B18-C18-D18</x:f>
        <x:v>0</x:v>
      </x:c>
      <x:c r="P18" s="196" t="n">
        <x:f>MAX(B18-B17,0)</x:f>
        <x:v>0</x:v>
      </x:c>
    </x:row>
    <x:row r="19">
      <x:c r="A19" s="20" t="n">
        <x:v>14</x:v>
      </x:c>
      <x:c r="B19" s="563" t="n">
        <x:f>SUM('_計算240'!$F$161:$F$172)</x:f>
        <x:v>5764.939650333731</x:v>
      </x:c>
      <x:c r="C19" s="563" t="n">
        <x:f>SUM('_計算240'!$H$161:$H$172)</x:f>
        <x:v>2305.9758601334925</x:v>
      </x:c>
      <x:c r="D19" s="563" t="n">
        <x:f>SUM('_計算240'!$I$161:$I$172)</x:f>
        <x:v>3458.9637902002387</x:v>
      </x:c>
      <x:c r="E19" s="185" t="n">
        <x:f>'_計算240'!$J$161</x:f>
        <x:v>39.83326481516513</x:v>
      </x:c>
      <x:c r="F19" s="185" t="n">
        <x:f>'_計算240'!$K$161</x:f>
        <x:v>8.3</x:v>
      </x:c>
      <x:c r="G19" s="190" t="n">
        <x:f>SUM('_計算240'!$L$161:$L$172)</x:f>
        <x:v>91854.54709407559</x:v>
      </x:c>
      <x:c r="H19" s="190" t="n">
        <x:f>SUM('_計算240'!$M$161:$M$172)</x:f>
        <x:v>28709.399458661974</x:v>
      </x:c>
      <x:c r="I19" s="190" t="n">
        <x:f>IF(AND('_設定'!$J$23=1,'3分入力'!$D$8&gt;0),MAX('詳細設定'!$D$17,0),0)</x:f>
        <x:v>0</x:v>
      </x:c>
      <x:c r="J19" s="190" t="n">
        <x:f>IF(AND('_設定'!$J$23=1,'3分入力'!$D$8&gt;0,A19='詳細設定'!$D$18),MAX('詳細設定'!$D$19,0),0)</x:f>
        <x:v>0</x:v>
      </x:c>
      <x:c r="K19" s="190" t="n">
        <x:f>G19+H19-I19-J19</x:f>
        <x:v>120563.94655273756</x:v>
      </x:c>
      <x:c r="L19" s="190" t="n">
        <x:f>L18+K19</x:f>
        <x:v>75548.26448025365</x:v>
      </x:c>
      <x:c r="M19" s="186" t="n">
        <x:f>IF(AND(L19&gt;=0,MIN(L19:$L$25)&gt;=0),A19,"")</x:f>
        <x:v>14</x:v>
      </x:c>
      <x:c r="N19" s="189" t="n">
        <x:f>IF(MAX('3分入力'!$D$10,0)=0,0,C19/MAX('3分入力'!$D$10,0))</x:f>
        <x:v>0.512439080029665</x:v>
      </x:c>
      <x:c r="O19" s="196" t="n">
        <x:f>B19-C19-D19</x:f>
        <x:v>0</x:v>
      </x:c>
      <x:c r="P19" s="196" t="n">
        <x:f>MAX(B19-B18,0)</x:f>
        <x:v>0</x:v>
      </x:c>
    </x:row>
    <x:row r="20">
      <x:c r="A20" s="20" t="n">
        <x:v>15</x:v>
      </x:c>
      <x:c r="B20" s="563" t="n">
        <x:f>SUM('_計算240'!$F$173:$F$184)</x:f>
        <x:v>5764.939650333731</x:v>
      </x:c>
      <x:c r="C20" s="563" t="n">
        <x:f>SUM('_計算240'!$H$173:$H$184)</x:f>
        <x:v>2305.9758601334925</x:v>
      </x:c>
      <x:c r="D20" s="563" t="n">
        <x:f>SUM('_計算240'!$I$173:$I$184)</x:f>
        <x:v>3458.9637902002387</x:v>
      </x:c>
      <x:c r="E20" s="185" t="n">
        <x:f>'_計算240'!$J$173</x:f>
        <x:v>40.23159746331679</x:v>
      </x:c>
      <x:c r="F20" s="185" t="n">
        <x:f>'_計算240'!$K$173</x:f>
        <x:v>8.3</x:v>
      </x:c>
      <x:c r="G20" s="190" t="n">
        <x:f>SUM('_計算240'!$L$173:$L$184)</x:f>
        <x:v>92773.09256501637</x:v>
      </x:c>
      <x:c r="H20" s="190" t="n">
        <x:f>SUM('_計算240'!$M$173:$M$184)</x:f>
        <x:v>28709.399458661974</x:v>
      </x:c>
      <x:c r="I20" s="190" t="n">
        <x:f>IF(AND('_設定'!$J$23=1,'3分入力'!$D$8&gt;0),MAX('詳細設定'!$D$17,0),0)</x:f>
        <x:v>0</x:v>
      </x:c>
      <x:c r="J20" s="190" t="n">
        <x:f>IF(AND('_設定'!$J$23=1,'3分入力'!$D$8&gt;0,A20='詳細設定'!$D$18),MAX('詳細設定'!$D$19,0),0)</x:f>
        <x:v>0</x:v>
      </x:c>
      <x:c r="K20" s="190" t="n">
        <x:f>G20+H20-I20-J20</x:f>
        <x:v>121482.49202367835</x:v>
      </x:c>
      <x:c r="L20" s="190" t="n">
        <x:f>L19+K20</x:f>
        <x:v>197030.756503932</x:v>
      </x:c>
      <x:c r="M20" s="186" t="n">
        <x:f>IF(AND(L20&gt;=0,MIN(L20:$L$25)&gt;=0),A20,"")</x:f>
        <x:v>15</x:v>
      </x:c>
      <x:c r="N20" s="189" t="n">
        <x:f>IF(MAX('3分入力'!$D$10,0)=0,0,C20/MAX('3分入力'!$D$10,0))</x:f>
        <x:v>0.512439080029665</x:v>
      </x:c>
      <x:c r="O20" s="196" t="n">
        <x:f>B20-C20-D20</x:f>
        <x:v>0</x:v>
      </x:c>
      <x:c r="P20" s="196" t="n">
        <x:f>MAX(B20-B19,0)</x:f>
        <x:v>0</x:v>
      </x:c>
    </x:row>
    <x:row r="21">
      <x:c r="A21" s="20" t="n">
        <x:v>16</x:v>
      </x:c>
      <x:c r="B21" s="563" t="n">
        <x:f>SUM('_計算240'!$F$185:$F$196)</x:f>
        <x:v>5764.939650333731</x:v>
      </x:c>
      <x:c r="C21" s="563" t="n">
        <x:f>SUM('_計算240'!$H$185:$H$196)</x:f>
        <x:v>2305.9758601334925</x:v>
      </x:c>
      <x:c r="D21" s="563" t="n">
        <x:f>SUM('_計算240'!$I$185:$I$196)</x:f>
        <x:v>3458.9637902002387</x:v>
      </x:c>
      <x:c r="E21" s="185" t="n">
        <x:f>'_計算240'!$J$185</x:f>
        <x:v>40.63391343794996</x:v>
      </x:c>
      <x:c r="F21" s="185" t="n">
        <x:f>'_計算240'!$K$185</x:f>
        <x:v>8.3</x:v>
      </x:c>
      <x:c r="G21" s="190" t="n">
        <x:f>SUM('_計算240'!$L$185:$L$196)</x:f>
        <x:v>93700.82349066653</x:v>
      </x:c>
      <x:c r="H21" s="190" t="n">
        <x:f>SUM('_計算240'!$M$185:$M$196)</x:f>
        <x:v>28709.399458661974</x:v>
      </x:c>
      <x:c r="I21" s="190" t="n">
        <x:f>IF(AND('_設定'!$J$23=1,'3分入力'!$D$8&gt;0),MAX('詳細設定'!$D$17,0),0)</x:f>
        <x:v>0</x:v>
      </x:c>
      <x:c r="J21" s="190" t="n">
        <x:f>IF(AND('_設定'!$J$23=1,'3分入力'!$D$8&gt;0,A21='詳細設定'!$D$18),MAX('詳細設定'!$D$19,0),0)</x:f>
        <x:v>0</x:v>
      </x:c>
      <x:c r="K21" s="190" t="n">
        <x:f>G21+H21-I21-J21</x:f>
        <x:v>122410.22294932851</x:v>
      </x:c>
      <x:c r="L21" s="190" t="n">
        <x:f>L20+K21</x:f>
        <x:v>319440.97945326054</x:v>
      </x:c>
      <x:c r="M21" s="186" t="n">
        <x:f>IF(AND(L21&gt;=0,MIN(L21:$L$25)&gt;=0),A21,"")</x:f>
        <x:v>16</x:v>
      </x:c>
      <x:c r="N21" s="189" t="n">
        <x:f>IF(MAX('3分入力'!$D$10,0)=0,0,C21/MAX('3分入力'!$D$10,0))</x:f>
        <x:v>0.512439080029665</x:v>
      </x:c>
      <x:c r="O21" s="196" t="n">
        <x:f>B21-C21-D21</x:f>
        <x:v>0</x:v>
      </x:c>
      <x:c r="P21" s="196" t="n">
        <x:f>MAX(B21-B20,0)</x:f>
        <x:v>0</x:v>
      </x:c>
    </x:row>
    <x:row r="22">
      <x:c r="A22" s="20" t="n">
        <x:v>17</x:v>
      </x:c>
      <x:c r="B22" s="563" t="n">
        <x:f>SUM('_計算240'!$F$197:$F$208)</x:f>
        <x:v>5764.939650333731</x:v>
      </x:c>
      <x:c r="C22" s="563" t="n">
        <x:f>SUM('_計算240'!$H$197:$H$208)</x:f>
        <x:v>2305.9758601334925</x:v>
      </x:c>
      <x:c r="D22" s="563" t="n">
        <x:f>SUM('_計算240'!$I$197:$I$208)</x:f>
        <x:v>3458.9637902002387</x:v>
      </x:c>
      <x:c r="E22" s="185" t="n">
        <x:f>'_計算240'!$J$197</x:f>
        <x:v>41.04025257232946</x:v>
      </x:c>
      <x:c r="F22" s="185" t="n">
        <x:f>'_計算240'!$K$197</x:f>
        <x:v>8.3</x:v>
      </x:c>
      <x:c r="G22" s="190" t="n">
        <x:f>SUM('_計算240'!$L$197:$L$208)</x:f>
        <x:v>94637.83172557317</x:v>
      </x:c>
      <x:c r="H22" s="190" t="n">
        <x:f>SUM('_計算240'!$M$197:$M$208)</x:f>
        <x:v>28709.399458661974</x:v>
      </x:c>
      <x:c r="I22" s="190" t="n">
        <x:f>IF(AND('_設定'!$J$23=1,'3分入力'!$D$8&gt;0),MAX('詳細設定'!$D$17,0),0)</x:f>
        <x:v>0</x:v>
      </x:c>
      <x:c r="J22" s="190" t="n">
        <x:f>IF(AND('_設定'!$J$23=1,'3分入力'!$D$8&gt;0,A22='詳細設定'!$D$18),MAX('詳細設定'!$D$19,0),0)</x:f>
        <x:v>0</x:v>
      </x:c>
      <x:c r="K22" s="190" t="n">
        <x:f>G22+H22-I22-J22</x:f>
        <x:v>123347.23118423513</x:v>
      </x:c>
      <x:c r="L22" s="190" t="n">
        <x:f>L21+K22</x:f>
        <x:v>442788.2106374957</x:v>
      </x:c>
      <x:c r="M22" s="186" t="n">
        <x:f>IF(AND(L22&gt;=0,MIN(L22:$L$25)&gt;=0),A22,"")</x:f>
        <x:v>17</x:v>
      </x:c>
      <x:c r="N22" s="189" t="n">
        <x:f>IF(MAX('3分入力'!$D$10,0)=0,0,C22/MAX('3分入力'!$D$10,0))</x:f>
        <x:v>0.512439080029665</x:v>
      </x:c>
      <x:c r="O22" s="196" t="n">
        <x:f>B22-C22-D22</x:f>
        <x:v>0</x:v>
      </x:c>
      <x:c r="P22" s="196" t="n">
        <x:f>MAX(B22-B21,0)</x:f>
        <x:v>0</x:v>
      </x:c>
    </x:row>
    <x:row r="23">
      <x:c r="A23" s="20" t="n">
        <x:v>18</x:v>
      </x:c>
      <x:c r="B23" s="563" t="n">
        <x:f>SUM('_計算240'!$F$209:$F$220)</x:f>
        <x:v>5764.939650333731</x:v>
      </x:c>
      <x:c r="C23" s="563" t="n">
        <x:f>SUM('_計算240'!$H$209:$H$220)</x:f>
        <x:v>2305.9758601334925</x:v>
      </x:c>
      <x:c r="D23" s="563" t="n">
        <x:f>SUM('_計算240'!$I$209:$I$220)</x:f>
        <x:v>3458.9637902002387</x:v>
      </x:c>
      <x:c r="E23" s="185" t="n">
        <x:f>'_計算240'!$J$209</x:f>
        <x:v>41.45065509805275</x:v>
      </x:c>
      <x:c r="F23" s="185" t="n">
        <x:f>'_計算240'!$K$209</x:f>
        <x:v>8.3</x:v>
      </x:c>
      <x:c r="G23" s="190" t="n">
        <x:f>SUM('_計算240'!$L$209:$L$220)</x:f>
        <x:v>95584.21004282891</x:v>
      </x:c>
      <x:c r="H23" s="190" t="n">
        <x:f>SUM('_計算240'!$M$209:$M$220)</x:f>
        <x:v>28709.399458661974</x:v>
      </x:c>
      <x:c r="I23" s="190" t="n">
        <x:f>IF(AND('_設定'!$J$23=1,'3分入力'!$D$8&gt;0),MAX('詳細設定'!$D$17,0),0)</x:f>
        <x:v>0</x:v>
      </x:c>
      <x:c r="J23" s="190" t="n">
        <x:f>IF(AND('_設定'!$J$23=1,'3分入力'!$D$8&gt;0,A23='詳細設定'!$D$18),MAX('詳細設定'!$D$19,0),0)</x:f>
        <x:v>0</x:v>
      </x:c>
      <x:c r="K23" s="190" t="n">
        <x:f>G23+H23-I23-J23</x:f>
        <x:v>124293.6095014909</x:v>
      </x:c>
      <x:c r="L23" s="190" t="n">
        <x:f>L22+K23</x:f>
        <x:v>567081.8201389866</x:v>
      </x:c>
      <x:c r="M23" s="186" t="n">
        <x:f>IF(AND(L23&gt;=0,MIN(L23:$L$25)&gt;=0),A23,"")</x:f>
        <x:v>18</x:v>
      </x:c>
      <x:c r="N23" s="189" t="n">
        <x:f>IF(MAX('3分入力'!$D$10,0)=0,0,C23/MAX('3分入力'!$D$10,0))</x:f>
        <x:v>0.512439080029665</x:v>
      </x:c>
      <x:c r="O23" s="196" t="n">
        <x:f>B23-C23-D23</x:f>
        <x:v>0</x:v>
      </x:c>
      <x:c r="P23" s="196" t="n">
        <x:f>MAX(B23-B22,0)</x:f>
        <x:v>0</x:v>
      </x:c>
    </x:row>
    <x:row r="24">
      <x:c r="A24" s="20" t="n">
        <x:v>19</x:v>
      </x:c>
      <x:c r="B24" s="563" t="n">
        <x:f>SUM('_計算240'!$F$221:$F$232)</x:f>
        <x:v>5764.939650333731</x:v>
      </x:c>
      <x:c r="C24" s="563" t="n">
        <x:f>SUM('_計算240'!$H$221:$H$232)</x:f>
        <x:v>2305.9758601334925</x:v>
      </x:c>
      <x:c r="D24" s="563" t="n">
        <x:f>SUM('_計算240'!$I$221:$I$232)</x:f>
        <x:v>3458.9637902002387</x:v>
      </x:c>
      <x:c r="E24" s="185" t="n">
        <x:f>'_計算240'!$J$221</x:f>
        <x:v>41.865161649033276</x:v>
      </x:c>
      <x:c r="F24" s="185" t="n">
        <x:f>'_計算240'!$K$221</x:f>
        <x:v>8.3</x:v>
      </x:c>
      <x:c r="G24" s="190" t="n">
        <x:f>SUM('_計算240'!$L$221:$L$232)</x:f>
        <x:v>96540.05214325721</x:v>
      </x:c>
      <x:c r="H24" s="190" t="n">
        <x:f>SUM('_計算240'!$M$221:$M$232)</x:f>
        <x:v>28709.399458661974</x:v>
      </x:c>
      <x:c r="I24" s="190" t="n">
        <x:f>IF(AND('_設定'!$J$23=1,'3分入力'!$D$8&gt;0),MAX('詳細設定'!$D$17,0),0)</x:f>
        <x:v>0</x:v>
      </x:c>
      <x:c r="J24" s="190" t="n">
        <x:f>IF(AND('_設定'!$J$23=1,'3分入力'!$D$8&gt;0,A24='詳細設定'!$D$18),MAX('詳細設定'!$D$19,0),0)</x:f>
        <x:v>0</x:v>
      </x:c>
      <x:c r="K24" s="190" t="n">
        <x:f>G24+H24-I24-J24</x:f>
        <x:v>125249.4516019192</x:v>
      </x:c>
      <x:c r="L24" s="190" t="n">
        <x:f>L23+K24</x:f>
        <x:v>692331.2717409057</x:v>
      </x:c>
      <x:c r="M24" s="186" t="n">
        <x:f>IF(AND(L24&gt;=0,MIN(L24:$L$25)&gt;=0),A24,"")</x:f>
        <x:v>19</x:v>
      </x:c>
      <x:c r="N24" s="189" t="n">
        <x:f>IF(MAX('3分入力'!$D$10,0)=0,0,C24/MAX('3分入力'!$D$10,0))</x:f>
        <x:v>0.512439080029665</x:v>
      </x:c>
      <x:c r="O24" s="196" t="n">
        <x:f>B24-C24-D24</x:f>
        <x:v>0</x:v>
      </x:c>
      <x:c r="P24" s="196" t="n">
        <x:f>MAX(B24-B23,0)</x:f>
        <x:v>0</x:v>
      </x:c>
    </x:row>
    <x:row r="25">
      <x:c r="A25" s="20" t="n">
        <x:v>20</x:v>
      </x:c>
      <x:c r="B25" s="563" t="n">
        <x:f>SUM('_計算240'!$F$233:$F$244)</x:f>
        <x:v>5764.939650333731</x:v>
      </x:c>
      <x:c r="C25" s="563" t="n">
        <x:f>SUM('_計算240'!$H$233:$H$244)</x:f>
        <x:v>2305.9758601334925</x:v>
      </x:c>
      <x:c r="D25" s="563" t="n">
        <x:f>SUM('_計算240'!$I$233:$I$244)</x:f>
        <x:v>3458.9637902002387</x:v>
      </x:c>
      <x:c r="E25" s="185" t="n">
        <x:f>'_計算240'!$J$233</x:f>
        <x:v>42.283813265523605</x:v>
      </x:c>
      <x:c r="F25" s="185" t="n">
        <x:f>'_計算240'!$K$233</x:f>
        <x:v>8.3</x:v>
      </x:c>
      <x:c r="G25" s="190" t="n">
        <x:f>SUM('_計算240'!$L$233:$L$244)</x:f>
        <x:v>97505.45266468977</x:v>
      </x:c>
      <x:c r="H25" s="190" t="n">
        <x:f>SUM('_計算240'!$M$233:$M$244)</x:f>
        <x:v>28709.399458661974</x:v>
      </x:c>
      <x:c r="I25" s="190" t="n">
        <x:f>IF(AND('_設定'!$J$23=1,'3分入力'!$D$8&gt;0),MAX('詳細設定'!$D$17,0),0)</x:f>
        <x:v>0</x:v>
      </x:c>
      <x:c r="J25" s="190" t="n">
        <x:f>IF(AND('_設定'!$J$23=1,'3分入力'!$D$8&gt;0,A25='詳細設定'!$D$18),MAX('詳細設定'!$D$19,0),0)</x:f>
        <x:v>0</x:v>
      </x:c>
      <x:c r="K25" s="190" t="n">
        <x:f>G25+H25-I25-J25</x:f>
        <x:v>126214.85212335174</x:v>
      </x:c>
      <x:c r="L25" s="190" t="n">
        <x:f>L24+K25</x:f>
        <x:v>818546.1238642575</x:v>
      </x:c>
      <x:c r="M25" s="186" t="n">
        <x:f>IF(AND(L25&gt;=0,MIN(L25:$L$25)&gt;=0),A25,"")</x:f>
        <x:v>20</x:v>
      </x:c>
      <x:c r="N25" s="189" t="n">
        <x:f>IF(MAX('3分入力'!$D$10,0)=0,0,C25/MAX('3分入力'!$D$10,0))</x:f>
        <x:v>0.512439080029665</x:v>
      </x:c>
      <x:c r="O25" s="196" t="n">
        <x:f>B25-C25-D25</x:f>
        <x:v>0</x:v>
      </x:c>
      <x:c r="P25" s="196" t="n">
        <x:f>MAX(B25-B24,0)</x:f>
        <x:v>0</x:v>
      </x:c>
    </x:row>
    <x:row r="26">
      <x:c r="A26" s="527"/>
      <x:c r="B26" s="527"/>
      <x:c r="C26" s="527"/>
      <x:c r="D26" s="527"/>
      <x:c r="E26" s="527"/>
      <x:c r="F26" s="527"/>
      <x:c r="G26" s="527"/>
      <x:c r="H26" s="527"/>
      <x:c r="I26" s="527"/>
      <x:c r="J26" s="527"/>
      <x:c r="K26" s="527"/>
      <x:c r="L26" s="527"/>
      <x:c r="M26" s="527"/>
      <x:c r="N26" s="527"/>
      <x:c r="O26" s="527"/>
      <x:c r="P26" s="527"/>
    </x:row>
    <x:row r="27">
      <x:c r="A27" s="527"/>
      <x:c r="B27" s="527"/>
      <x:c r="C27" s="527"/>
      <x:c r="D27" s="527"/>
      <x:c r="E27" s="527"/>
      <x:c r="F27" s="527"/>
      <x:c r="G27" s="527"/>
      <x:c r="H27" s="527"/>
      <x:c r="I27" s="527"/>
      <x:c r="J27" s="527"/>
      <x:c r="K27" s="527"/>
      <x:c r="L27" s="527"/>
      <x:c r="M27" s="527"/>
      <x:c r="N27" s="527"/>
      <x:c r="O27" s="527"/>
      <x:c r="P27" s="527"/>
    </x:row>
  </x:sheetData>
  <x:sheetProtection sheet="1" objects="0" scenarios="1" formatCells="1" formatColumns="1" formatRows="1" insertColumns="1" insertRows="1" insertHyperlinks="1" deleteColumns="1" deleteRows="1" selectLockedCells="0" selectUnlockedCells="0"/>
  <x:mergeCells>
    <x:mergeCell ref="A1:P2"/>
    <x:mergeCell ref="A3:P3"/>
  </x:mergeCells>
  <x:conditionalFormatting sqref="L5:L25">
    <x:cfRule type="colorScale" priority="1">
      <x:colorScale>
        <x:cfvo type="min"/>
        <x:cfvo type="percentile" val="50"/>
        <x:cfvo type="max"/>
        <x:color rgb="FFFEE4E2"/>
        <x:color rgb="FFFFFFFF"/>
        <x:color rgb="FFECFDF3"/>
      </x:colorScale>
    </x:cfRule>
  </x:conditionalFormatting>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 min="16" max="16" width="13" hidden="0" customWidth="1"/>
    <x:col min="17" max="17" width="13" hidden="0" customWidth="1"/>
    <x:col min="18" max="18" width="13" hidden="0" customWidth="1"/>
  </x:cols>
  <x:sheetData>
    <x:row r="1">
      <x:c r="A1" s="526" t="str">
        <x:v>内部計算｜3条件×20年×12か月（720行）</x:v>
      </x:c>
      <x:c r="B1" s="526"/>
      <x:c r="C1" s="526"/>
      <x:c r="D1" s="526"/>
      <x:c r="E1" s="526"/>
      <x:c r="F1" s="526"/>
      <x:c r="G1" s="526"/>
      <x:c r="H1" s="526"/>
      <x:c r="I1" s="526"/>
      <x:c r="J1" s="526"/>
      <x:c r="K1" s="526"/>
      <x:c r="L1" s="526"/>
      <x:c r="M1" s="526"/>
      <x:c r="N1" s="526"/>
      <x:c r="O1" s="526"/>
      <x:c r="P1" s="526"/>
      <x:c r="Q1" s="526"/>
      <x:c r="R1" s="526"/>
    </x:row>
    <x:row r="2">
      <x:c r="A2" s="526"/>
      <x:c r="B2" s="526"/>
      <x:c r="C2" s="526"/>
      <x:c r="D2" s="526"/>
      <x:c r="E2" s="526"/>
      <x:c r="F2" s="526"/>
      <x:c r="G2" s="526"/>
      <x:c r="H2" s="526"/>
      <x:c r="I2" s="526"/>
      <x:c r="J2" s="526"/>
      <x:c r="K2" s="526"/>
      <x:c r="L2" s="526"/>
      <x:c r="M2" s="526"/>
      <x:c r="N2" s="526"/>
      <x:c r="O2" s="526"/>
      <x:c r="P2" s="526"/>
      <x:c r="Q2" s="526"/>
      <x:c r="R2" s="526"/>
    </x:row>
    <x:row r="3">
      <x:c r="A3" s="8" t="str">
        <x:v>3条件とも本体と同じ月次MINロジック。標準ケースは本体240か月と完全一致させます。</x:v>
      </x:c>
      <x:c r="B3" s="8"/>
      <x:c r="C3" s="8"/>
      <x:c r="D3" s="8"/>
      <x:c r="E3" s="8"/>
      <x:c r="F3" s="8"/>
      <x:c r="G3" s="8"/>
      <x:c r="H3" s="8"/>
      <x:c r="I3" s="8"/>
      <x:c r="J3" s="8"/>
      <x:c r="K3" s="8"/>
      <x:c r="L3" s="8"/>
      <x:c r="M3" s="8"/>
      <x:c r="N3" s="8"/>
      <x:c r="O3" s="8"/>
      <x:c r="P3" s="8"/>
      <x:c r="Q3" s="8"/>
      <x:c r="R3" s="8"/>
    </x:row>
    <x:row r="4">
      <x:c r="A4" s="13" t="str">
        <x:v>ケース</x:v>
      </x:c>
      <x:c r="B4" s="13" t="str">
        <x:v>年</x:v>
      </x:c>
      <x:c r="C4" s="13" t="str">
        <x:v>月</x:v>
      </x:c>
      <x:c r="D4" s="13" t="str">
        <x:v>日射倍率</x:v>
      </x:c>
      <x:c r="E4" s="13" t="str">
        <x:v>設置費倍率</x:v>
      </x:c>
      <x:c r="F4" s="13" t="str">
        <x:v>同時消費上限率</x:v>
      </x:c>
      <x:c r="G4" s="13" t="str">
        <x:v>初年度発電</x:v>
      </x:c>
      <x:c r="H4" s="13" t="str">
        <x:v>月需要</x:v>
      </x:c>
      <x:c r="I4" s="13" t="str">
        <x:v>劣化係数</x:v>
      </x:c>
      <x:c r="J4" s="13" t="str">
        <x:v>発電</x:v>
      </x:c>
      <x:c r="K4" s="13" t="str">
        <x:v>自家消費</x:v>
      </x:c>
      <x:c r="L4" s="13" t="str">
        <x:v>売電</x:v>
      </x:c>
      <x:c r="M4" s="13" t="str">
        <x:v>買電単価</x:v>
      </x:c>
      <x:c r="N4" s="13" t="str">
        <x:v>売電単価</x:v>
      </x:c>
      <x:c r="O4" s="13" t="str">
        <x:v>削減</x:v>
      </x:c>
      <x:c r="P4" s="13" t="str">
        <x:v>売電収入</x:v>
      </x:c>
      <x:c r="Q4" s="13" t="str">
        <x:v>便益</x:v>
      </x:c>
      <x:c r="R4" s="13" t="str">
        <x:v>収支残差</x:v>
      </x:c>
    </x:row>
    <x:row r="5">
      <x:c r="A5" s="20" t="str">
        <x:v>慎重</x:v>
      </x:c>
      <x:c r="B5" s="20" t="n">
        <x:v>1</x:v>
      </x:c>
      <x:c r="C5" s="20" t="n">
        <x:v>1</x:v>
      </x:c>
      <x:c r="D5" s="189" t="n">
        <x:v>0.9</x:v>
      </x:c>
      <x:c r="E5" s="189" t="n">
        <x:v>1.1</x:v>
      </x:c>
      <x:c r="F5" s="189" t="n">
        <x:f>MAX(MIN('詳細設定'!$D$15+-0.05,1),0)</x:f>
        <x:v>0.35000000000000003</x:v>
      </x:c>
      <x:c r="G5" s="563" t="n">
        <x:f>'_計算月次'!$J$5</x:f>
        <x:v>502.4147595742038</x:v>
      </x:c>
      <x:c r="H5" s="563" t="n">
        <x:f>'_計算月次'!$K$5</x:f>
        <x:v>450</x:v>
      </x:c>
      <x:c r="I5" s="563" t="n">
        <x:f>(1-MAX(MIN('詳細設定'!$D$16,0.999999),0))^(B5-1)</x:f>
        <x:v>1</x:v>
      </x:c>
      <x:c r="J5" s="563" t="n">
        <x:f>MAX(G5*D5*I5,0)</x:f>
        <x:v>452.1732836167834</x:v>
      </x:c>
      <x:c r="K5" s="563" t="n">
        <x:f>MAX(MIN(J5*F5,H5),0)</x:f>
        <x:v>158.2606492658742</x:v>
      </x:c>
      <x:c r="L5" s="563" t="n">
        <x:f>MAX(J5-K5,0)</x:f>
        <x:v>293.91263435090923</x:v>
      </x:c>
      <x:c r="M5" s="185" t="n">
        <x:f>MAX('詳細設定'!$D$6,0)*(1+'詳細設定'!$D$21)^(B5-1)</x:f>
        <x:v>35</x:v>
      </x:c>
      <x:c r="N5" s="185" t="n">
        <x:f>IF(B5&lt;=MAX(MIN('詳細設定'!$D$8,20),0),MAX('詳細設定'!$D$7,0),IF(B5&lt;=MAX(MIN('詳細設定'!$D$10,20),0),MAX('詳細設定'!$D$9,0),MAX('詳細設定'!$D$11,0)))</x:f>
        <x:v>24</x:v>
      </x:c>
      <x:c r="O5" s="190" t="n">
        <x:f>K5*M5</x:f>
        <x:v>5539.122724305597</x:v>
      </x:c>
      <x:c r="P5" s="190" t="n">
        <x:f>L5*N5</x:f>
        <x:v>7053.9032244218215</x:v>
      </x:c>
      <x:c r="Q5" s="190" t="n">
        <x:f>O5+P5</x:f>
        <x:v>12593.02594872742</x:v>
      </x:c>
      <x:c r="R5" s="196" t="n">
        <x:f>J5-K5-L5</x:f>
        <x:v>0</x:v>
      </x:c>
    </x:row>
    <x:row r="6">
      <x:c r="A6" s="20" t="str">
        <x:v>慎重</x:v>
      </x:c>
      <x:c r="B6" s="20" t="n">
        <x:v>1</x:v>
      </x:c>
      <x:c r="C6" s="20" t="n">
        <x:v>2</x:v>
      </x:c>
      <x:c r="D6" s="189" t="n">
        <x:v>0.9</x:v>
      </x:c>
      <x:c r="E6" s="189" t="n">
        <x:v>1.1</x:v>
      </x:c>
      <x:c r="F6" s="189" t="n">
        <x:f>MAX(MIN('詳細設定'!$D$15+-0.05,1),0)</x:f>
        <x:v>0.35000000000000003</x:v>
      </x:c>
      <x:c r="G6" s="563" t="n">
        <x:f>'_計算月次'!$J$6</x:f>
        <x:v>472.4508339500229</x:v>
      </x:c>
      <x:c r="H6" s="563" t="n">
        <x:f>'_計算月次'!$K$6</x:f>
        <x:v>405</x:v>
      </x:c>
      <x:c r="I6" s="563" t="n">
        <x:f>(1-MAX(MIN('詳細設定'!$D$16,0.999999),0))^(B6-1)</x:f>
        <x:v>1</x:v>
      </x:c>
      <x:c r="J6" s="563" t="n">
        <x:f>MAX(G6*D6*I6,0)</x:f>
        <x:v>425.20575055502064</x:v>
      </x:c>
      <x:c r="K6" s="563" t="n">
        <x:f>MAX(MIN(J6*F6,H6),0)</x:f>
        <x:v>148.82201269425724</x:v>
      </x:c>
      <x:c r="L6" s="563" t="n">
        <x:f>MAX(J6-K6,0)</x:f>
        <x:v>276.3837378607634</x:v>
      </x:c>
      <x:c r="M6" s="185" t="n">
        <x:f>MAX('詳細設定'!$D$6,0)*(1+'詳細設定'!$D$21)^(B6-1)</x:f>
        <x:v>35</x:v>
      </x:c>
      <x:c r="N6" s="185" t="n">
        <x:f>IF(B6&lt;=MAX(MIN('詳細設定'!$D$8,20),0),MAX('詳細設定'!$D$7,0),IF(B6&lt;=MAX(MIN('詳細設定'!$D$10,20),0),MAX('詳細設定'!$D$9,0),MAX('詳細設定'!$D$11,0)))</x:f>
        <x:v>24</x:v>
      </x:c>
      <x:c r="O6" s="190" t="n">
        <x:f>K6*M6</x:f>
        <x:v>5208.770444299003</x:v>
      </x:c>
      <x:c r="P6" s="190" t="n">
        <x:f>L6*N6</x:f>
        <x:v>6633.209708658322</x:v>
      </x:c>
      <x:c r="Q6" s="190" t="n">
        <x:f>O6+P6</x:f>
        <x:v>11841.980152957325</x:v>
      </x:c>
      <x:c r="R6" s="196" t="n">
        <x:f>J6-K6-L6</x:f>
        <x:v>0</x:v>
      </x:c>
    </x:row>
    <x:row r="7">
      <x:c r="A7" s="20" t="str">
        <x:v>慎重</x:v>
      </x:c>
      <x:c r="B7" s="20" t="n">
        <x:v>1</x:v>
      </x:c>
      <x:c r="C7" s="20" t="n">
        <x:v>3</x:v>
      </x:c>
      <x:c r="D7" s="189" t="n">
        <x:v>0.9</x:v>
      </x:c>
      <x:c r="E7" s="189" t="n">
        <x:v>1.1</x:v>
      </x:c>
      <x:c r="F7" s="189" t="n">
        <x:f>MAX(MIN('詳細設定'!$D$15+-0.05,1),0)</x:f>
        <x:v>0.35000000000000003</x:v>
      </x:c>
      <x:c r="G7" s="563" t="n">
        <x:f>'_計算月次'!$J$7</x:f>
        <x:v>548.3418864753118</x:v>
      </x:c>
      <x:c r="H7" s="563" t="n">
        <x:f>'_計算月次'!$K$7</x:f>
        <x:v>360</x:v>
      </x:c>
      <x:c r="I7" s="563" t="n">
        <x:f>(1-MAX(MIN('詳細設定'!$D$16,0.999999),0))^(B7-1)</x:f>
        <x:v>1</x:v>
      </x:c>
      <x:c r="J7" s="563" t="n">
        <x:f>MAX(G7*D7*I7,0)</x:f>
        <x:v>493.5076978277806</x:v>
      </x:c>
      <x:c r="K7" s="563" t="n">
        <x:f>MAX(MIN(J7*F7,H7),0)</x:f>
        <x:v>172.72769423972323</x:v>
      </x:c>
      <x:c r="L7" s="563" t="n">
        <x:f>MAX(J7-K7,0)</x:f>
        <x:v>320.78000358805735</x:v>
      </x:c>
      <x:c r="M7" s="185" t="n">
        <x:f>MAX('詳細設定'!$D$6,0)*(1+'詳細設定'!$D$21)^(B7-1)</x:f>
        <x:v>35</x:v>
      </x:c>
      <x:c r="N7" s="185" t="n">
        <x:f>IF(B7&lt;=MAX(MIN('詳細設定'!$D$8,20),0),MAX('詳細設定'!$D$7,0),IF(B7&lt;=MAX(MIN('詳細設定'!$D$10,20),0),MAX('詳細設定'!$D$9,0),MAX('詳細設定'!$D$11,0)))</x:f>
        <x:v>24</x:v>
      </x:c>
      <x:c r="O7" s="190" t="n">
        <x:f>K7*M7</x:f>
        <x:v>6045.469298390313</x:v>
      </x:c>
      <x:c r="P7" s="190" t="n">
        <x:f>L7*N7</x:f>
        <x:v>7698.720086113377</x:v>
      </x:c>
      <x:c r="Q7" s="190" t="n">
        <x:f>O7+P7</x:f>
        <x:v>13744.18938450369</x:v>
      </x:c>
      <x:c r="R7" s="196" t="n">
        <x:f>J7-K7-L7</x:f>
        <x:v>0</x:v>
      </x:c>
    </x:row>
    <x:row r="8">
      <x:c r="A8" s="20" t="str">
        <x:v>慎重</x:v>
      </x:c>
      <x:c r="B8" s="20" t="n">
        <x:v>1</x:v>
      </x:c>
      <x:c r="C8" s="20" t="n">
        <x:v>4</x:v>
      </x:c>
      <x:c r="D8" s="189" t="n">
        <x:v>0.9</x:v>
      </x:c>
      <x:c r="E8" s="189" t="n">
        <x:v>1.1</x:v>
      </x:c>
      <x:c r="F8" s="189" t="n">
        <x:f>MAX(MIN('詳細設定'!$D$15+-0.05,1),0)</x:f>
        <x:v>0.35000000000000003</x:v>
      </x:c>
      <x:c r="G8" s="563" t="n">
        <x:f>'_計算月次'!$J$8</x:f>
        <x:v>548.3944393749554</x:v>
      </x:c>
      <x:c r="H8" s="563" t="n">
        <x:f>'_計算月次'!$K$8</x:f>
        <x:v>315.00000000000006</x:v>
      </x:c>
      <x:c r="I8" s="563" t="n">
        <x:f>(1-MAX(MIN('詳細設定'!$D$16,0.999999),0))^(B8-1)</x:f>
        <x:v>1</x:v>
      </x:c>
      <x:c r="J8" s="563" t="n">
        <x:f>MAX(G8*D8*I8,0)</x:f>
        <x:v>493.55499543745987</x:v>
      </x:c>
      <x:c r="K8" s="563" t="n">
        <x:f>MAX(MIN(J8*F8,H8),0)</x:f>
        <x:v>172.74424840311096</x:v>
      </x:c>
      <x:c r="L8" s="563" t="n">
        <x:f>MAX(J8-K8,0)</x:f>
        <x:v>320.8107470343489</x:v>
      </x:c>
      <x:c r="M8" s="185" t="n">
        <x:f>MAX('詳細設定'!$D$6,0)*(1+'詳細設定'!$D$21)^(B8-1)</x:f>
        <x:v>35</x:v>
      </x:c>
      <x:c r="N8" s="185" t="n">
        <x:f>IF(B8&lt;=MAX(MIN('詳細設定'!$D$8,20),0),MAX('詳細設定'!$D$7,0),IF(B8&lt;=MAX(MIN('詳細設定'!$D$10,20),0),MAX('詳細設定'!$D$9,0),MAX('詳細設定'!$D$11,0)))</x:f>
        <x:v>24</x:v>
      </x:c>
      <x:c r="O8" s="190" t="n">
        <x:f>K8*M8</x:f>
        <x:v>6046.048694108884</x:v>
      </x:c>
      <x:c r="P8" s="190" t="n">
        <x:f>L8*N8</x:f>
        <x:v>7699.457928824373</x:v>
      </x:c>
      <x:c r="Q8" s="190" t="n">
        <x:f>O8+P8</x:f>
        <x:v>13745.506622933257</x:v>
      </x:c>
      <x:c r="R8" s="196" t="n">
        <x:f>J8-K8-L8</x:f>
        <x:v>0</x:v>
      </x:c>
    </x:row>
    <x:row r="9">
      <x:c r="A9" s="20" t="str">
        <x:v>慎重</x:v>
      </x:c>
      <x:c r="B9" s="20" t="n">
        <x:v>1</x:v>
      </x:c>
      <x:c r="C9" s="20" t="n">
        <x:v>5</x:v>
      </x:c>
      <x:c r="D9" s="189" t="n">
        <x:v>0.9</x:v>
      </x:c>
      <x:c r="E9" s="189" t="n">
        <x:v>1.1</x:v>
      </x:c>
      <x:c r="F9" s="189" t="n">
        <x:f>MAX(MIN('詳細設定'!$D$15+-0.05,1),0)</x:f>
        <x:v>0.35000000000000003</x:v>
      </x:c>
      <x:c r="G9" s="563" t="n">
        <x:f>'_計算月次'!$J$9</x:f>
        <x:v>552.2367574934775</x:v>
      </x:c>
      <x:c r="H9" s="563" t="n">
        <x:f>'_計算月次'!$K$9</x:f>
        <x:v>315.00000000000006</x:v>
      </x:c>
      <x:c r="I9" s="563" t="n">
        <x:f>(1-MAX(MIN('詳細設定'!$D$16,0.999999),0))^(B9-1)</x:f>
        <x:v>1</x:v>
      </x:c>
      <x:c r="J9" s="563" t="n">
        <x:f>MAX(G9*D9*I9,0)</x:f>
        <x:v>497.01308174412975</x:v>
      </x:c>
      <x:c r="K9" s="563" t="n">
        <x:f>MAX(MIN(J9*F9,H9),0)</x:f>
        <x:v>173.95457861044542</x:v>
      </x:c>
      <x:c r="L9" s="563" t="n">
        <x:f>MAX(J9-K9,0)</x:f>
        <x:v>323.0585031336843</x:v>
      </x:c>
      <x:c r="M9" s="185" t="n">
        <x:f>MAX('詳細設定'!$D$6,0)*(1+'詳細設定'!$D$21)^(B9-1)</x:f>
        <x:v>35</x:v>
      </x:c>
      <x:c r="N9" s="185" t="n">
        <x:f>IF(B9&lt;=MAX(MIN('詳細設定'!$D$8,20),0),MAX('詳細設定'!$D$7,0),IF(B9&lt;=MAX(MIN('詳細設定'!$D$10,20),0),MAX('詳細設定'!$D$9,0),MAX('詳細設定'!$D$11,0)))</x:f>
        <x:v>24</x:v>
      </x:c>
      <x:c r="O9" s="190" t="n">
        <x:f>K9*M9</x:f>
        <x:v>6088.41025136559</x:v>
      </x:c>
      <x:c r="P9" s="190" t="n">
        <x:f>L9*N9</x:f>
        <x:v>7753.404075208424</x:v>
      </x:c>
      <x:c r="Q9" s="190" t="n">
        <x:f>O9+P9</x:f>
        <x:v>13841.814326574015</x:v>
      </x:c>
      <x:c r="R9" s="196" t="n">
        <x:f>J9-K9-L9</x:f>
        <x:v>0</x:v>
      </x:c>
    </x:row>
    <x:row r="10">
      <x:c r="A10" s="20" t="str">
        <x:v>慎重</x:v>
      </x:c>
      <x:c r="B10" s="20" t="n">
        <x:v>1</x:v>
      </x:c>
      <x:c r="C10" s="20" t="n">
        <x:v>6</x:v>
      </x:c>
      <x:c r="D10" s="189" t="n">
        <x:v>0.9</x:v>
      </x:c>
      <x:c r="E10" s="189" t="n">
        <x:v>1.1</x:v>
      </x:c>
      <x:c r="F10" s="189" t="n">
        <x:f>MAX(MIN('詳細設定'!$D$15+-0.05,1),0)</x:f>
        <x:v>0.35000000000000003</x:v>
      </x:c>
      <x:c r="G10" s="563" t="n">
        <x:f>'_計算月次'!$J$10</x:f>
        <x:v>448.7994857612148</x:v>
      </x:c>
      <x:c r="H10" s="563" t="n">
        <x:f>'_計算月次'!$K$10</x:f>
        <x:v>360</x:v>
      </x:c>
      <x:c r="I10" s="563" t="n">
        <x:f>(1-MAX(MIN('詳細設定'!$D$16,0.999999),0))^(B10-1)</x:f>
        <x:v>1</x:v>
      </x:c>
      <x:c r="J10" s="563" t="n">
        <x:f>MAX(G10*D10*I10,0)</x:f>
        <x:v>403.9195371850933</x:v>
      </x:c>
      <x:c r="K10" s="563" t="n">
        <x:f>MAX(MIN(J10*F10,H10),0)</x:f>
        <x:v>141.37183801478267</x:v>
      </x:c>
      <x:c r="L10" s="563" t="n">
        <x:f>MAX(J10-K10,0)</x:f>
        <x:v>262.54769917031064</x:v>
      </x:c>
      <x:c r="M10" s="185" t="n">
        <x:f>MAX('詳細設定'!$D$6,0)*(1+'詳細設定'!$D$21)^(B10-1)</x:f>
        <x:v>35</x:v>
      </x:c>
      <x:c r="N10" s="185" t="n">
        <x:f>IF(B10&lt;=MAX(MIN('詳細設定'!$D$8,20),0),MAX('詳細設定'!$D$7,0),IF(B10&lt;=MAX(MIN('詳細設定'!$D$10,20),0),MAX('詳細設定'!$D$9,0),MAX('詳細設定'!$D$11,0)))</x:f>
        <x:v>24</x:v>
      </x:c>
      <x:c r="O10" s="190" t="n">
        <x:f>K10*M10</x:f>
        <x:v>4948.014330517393</x:v>
      </x:c>
      <x:c r="P10" s="190" t="n">
        <x:f>L10*N10</x:f>
        <x:v>6301.144780087456</x:v>
      </x:c>
      <x:c r="Q10" s="190" t="n">
        <x:f>O10+P10</x:f>
        <x:v>11249.159110604849</x:v>
      </x:c>
      <x:c r="R10" s="196" t="n">
        <x:f>J10-K10-L10</x:f>
        <x:v>0</x:v>
      </x:c>
    </x:row>
    <x:row r="11">
      <x:c r="A11" s="20" t="str">
        <x:v>慎重</x:v>
      </x:c>
      <x:c r="B11" s="20" t="n">
        <x:v>1</x:v>
      </x:c>
      <x:c r="C11" s="20" t="n">
        <x:v>7</x:v>
      </x:c>
      <x:c r="D11" s="189" t="n">
        <x:v>0.9</x:v>
      </x:c>
      <x:c r="E11" s="189" t="n">
        <x:v>1.1</x:v>
      </x:c>
      <x:c r="F11" s="189" t="n">
        <x:f>MAX(MIN('詳細設定'!$D$15+-0.05,1),0)</x:f>
        <x:v>0.35000000000000003</x:v>
      </x:c>
      <x:c r="G11" s="563" t="n">
        <x:f>'_計算月次'!$J$11</x:f>
        <x:v>476.0181638067866</x:v>
      </x:c>
      <x:c r="H11" s="563" t="n">
        <x:f>'_計算月次'!$K$11</x:f>
        <x:v>405</x:v>
      </x:c>
      <x:c r="I11" s="563" t="n">
        <x:f>(1-MAX(MIN('詳細設定'!$D$16,0.999999),0))^(B11-1)</x:f>
        <x:v>1</x:v>
      </x:c>
      <x:c r="J11" s="563" t="n">
        <x:f>MAX(G11*D11*I11,0)</x:f>
        <x:v>428.41634742610796</x:v>
      </x:c>
      <x:c r="K11" s="563" t="n">
        <x:f>MAX(MIN(J11*F11,H11),0)</x:f>
        <x:v>149.9457215991378</x:v>
      </x:c>
      <x:c r="L11" s="563" t="n">
        <x:f>MAX(J11-K11,0)</x:f>
        <x:v>278.47062582697015</x:v>
      </x:c>
      <x:c r="M11" s="185" t="n">
        <x:f>MAX('詳細設定'!$D$6,0)*(1+'詳細設定'!$D$21)^(B11-1)</x:f>
        <x:v>35</x:v>
      </x:c>
      <x:c r="N11" s="185" t="n">
        <x:f>IF(B11&lt;=MAX(MIN('詳細設定'!$D$8,20),0),MAX('詳細設定'!$D$7,0),IF(B11&lt;=MAX(MIN('詳細設定'!$D$10,20),0),MAX('詳細設定'!$D$9,0),MAX('詳細設定'!$D$11,0)))</x:f>
        <x:v>24</x:v>
      </x:c>
      <x:c r="O11" s="190" t="n">
        <x:f>K11*M11</x:f>
        <x:v>5248.100255969824</x:v>
      </x:c>
      <x:c r="P11" s="190" t="n">
        <x:f>L11*N11</x:f>
        <x:v>6683.295019847284</x:v>
      </x:c>
      <x:c r="Q11" s="190" t="n">
        <x:f>O11+P11</x:f>
        <x:v>11931.395275817107</x:v>
      </x:c>
      <x:c r="R11" s="196" t="n">
        <x:f>J11-K11-L11</x:f>
        <x:v>0</x:v>
      </x:c>
    </x:row>
    <x:row r="12">
      <x:c r="A12" s="20" t="str">
        <x:v>慎重</x:v>
      </x:c>
      <x:c r="B12" s="20" t="n">
        <x:v>1</x:v>
      </x:c>
      <x:c r="C12" s="20" t="n">
        <x:v>8</x:v>
      </x:c>
      <x:c r="D12" s="189" t="n">
        <x:v>0.9</x:v>
      </x:c>
      <x:c r="E12" s="189" t="n">
        <x:v>1.1</x:v>
      </x:c>
      <x:c r="F12" s="189" t="n">
        <x:f>MAX(MIN('詳細設定'!$D$15+-0.05,1),0)</x:f>
        <x:v>0.35000000000000003</x:v>
      </x:c>
      <x:c r="G12" s="563" t="n">
        <x:f>'_計算月次'!$J$12</x:f>
        <x:v>528.6548067323699</x:v>
      </x:c>
      <x:c r="H12" s="563" t="n">
        <x:f>'_計算月次'!$K$12</x:f>
        <x:v>450</x:v>
      </x:c>
      <x:c r="I12" s="563" t="n">
        <x:f>(1-MAX(MIN('詳細設定'!$D$16,0.999999),0))^(B12-1)</x:f>
        <x:v>1</x:v>
      </x:c>
      <x:c r="J12" s="563" t="n">
        <x:f>MAX(G12*D12*I12,0)</x:f>
        <x:v>475.789326059133</x:v>
      </x:c>
      <x:c r="K12" s="563" t="n">
        <x:f>MAX(MIN(J12*F12,H12),0)</x:f>
        <x:v>166.52626412069657</x:v>
      </x:c>
      <x:c r="L12" s="563" t="n">
        <x:f>MAX(J12-K12,0)</x:f>
        <x:v>309.2630619384364</x:v>
      </x:c>
      <x:c r="M12" s="185" t="n">
        <x:f>MAX('詳細設定'!$D$6,0)*(1+'詳細設定'!$D$21)^(B12-1)</x:f>
        <x:v>35</x:v>
      </x:c>
      <x:c r="N12" s="185" t="n">
        <x:f>IF(B12&lt;=MAX(MIN('詳細設定'!$D$8,20),0),MAX('詳細設定'!$D$7,0),IF(B12&lt;=MAX(MIN('詳細設定'!$D$10,20),0),MAX('詳細設定'!$D$9,0),MAX('詳細設定'!$D$11,0)))</x:f>
        <x:v>24</x:v>
      </x:c>
      <x:c r="O12" s="190" t="n">
        <x:f>K12*M12</x:f>
        <x:v>5828.41924422438</x:v>
      </x:c>
      <x:c r="P12" s="190" t="n">
        <x:f>L12*N12</x:f>
        <x:v>7422.313486522474</x:v>
      </x:c>
      <x:c r="Q12" s="190" t="n">
        <x:f>O12+P12</x:f>
        <x:v>13250.732730746855</x:v>
      </x:c>
      <x:c r="R12" s="196" t="n">
        <x:f>J12-K12-L12</x:f>
        <x:v>0</x:v>
      </x:c>
    </x:row>
    <x:row r="13">
      <x:c r="A13" s="20" t="str">
        <x:v>慎重</x:v>
      </x:c>
      <x:c r="B13" s="20" t="n">
        <x:v>1</x:v>
      </x:c>
      <x:c r="C13" s="20" t="n">
        <x:v>9</x:v>
      </x:c>
      <x:c r="D13" s="189" t="n">
        <x:v>0.9</x:v>
      </x:c>
      <x:c r="E13" s="189" t="n">
        <x:v>1.1</x:v>
      </x:c>
      <x:c r="F13" s="189" t="n">
        <x:f>MAX(MIN('詳細設定'!$D$15+-0.05,1),0)</x:f>
        <x:v>0.35000000000000003</x:v>
      </x:c>
      <x:c r="G13" s="563" t="n">
        <x:f>'_計算月次'!$J$13</x:f>
        <x:v>436.37734765103465</x:v>
      </x:c>
      <x:c r="H13" s="563" t="n">
        <x:f>'_計算月次'!$K$13</x:f>
        <x:v>360</x:v>
      </x:c>
      <x:c r="I13" s="563" t="n">
        <x:f>(1-MAX(MIN('詳細設定'!$D$16,0.999999),0))^(B13-1)</x:f>
        <x:v>1</x:v>
      </x:c>
      <x:c r="J13" s="563" t="n">
        <x:f>MAX(G13*D13*I13,0)</x:f>
        <x:v>392.7396128859312</x:v>
      </x:c>
      <x:c r="K13" s="563" t="n">
        <x:f>MAX(MIN(J13*F13,H13),0)</x:f>
        <x:v>137.45886451007593</x:v>
      </x:c>
      <x:c r="L13" s="563" t="n">
        <x:f>MAX(J13-K13,0)</x:f>
        <x:v>255.28074837585527</x:v>
      </x:c>
      <x:c r="M13" s="185" t="n">
        <x:f>MAX('詳細設定'!$D$6,0)*(1+'詳細設定'!$D$21)^(B13-1)</x:f>
        <x:v>35</x:v>
      </x:c>
      <x:c r="N13" s="185" t="n">
        <x:f>IF(B13&lt;=MAX(MIN('詳細設定'!$D$8,20),0),MAX('詳細設定'!$D$7,0),IF(B13&lt;=MAX(MIN('詳細設定'!$D$10,20),0),MAX('詳細設定'!$D$9,0),MAX('詳細設定'!$D$11,0)))</x:f>
        <x:v>24</x:v>
      </x:c>
      <x:c r="O13" s="190" t="n">
        <x:f>K13*M13</x:f>
        <x:v>4811.060257852658</x:v>
      </x:c>
      <x:c r="P13" s="190" t="n">
        <x:f>L13*N13</x:f>
        <x:v>6126.737961020526</x:v>
      </x:c>
      <x:c r="Q13" s="190" t="n">
        <x:f>O13+P13</x:f>
        <x:v>10937.798218873184</x:v>
      </x:c>
      <x:c r="R13" s="196" t="n">
        <x:f>J13-K13-L13</x:f>
        <x:v>0</x:v>
      </x:c>
    </x:row>
    <x:row r="14">
      <x:c r="A14" s="20" t="str">
        <x:v>慎重</x:v>
      </x:c>
      <x:c r="B14" s="20" t="n">
        <x:v>1</x:v>
      </x:c>
      <x:c r="C14" s="20" t="n">
        <x:v>10</x:v>
      </x:c>
      <x:c r="D14" s="189" t="n">
        <x:v>0.9</x:v>
      </x:c>
      <x:c r="E14" s="189" t="n">
        <x:v>1.1</x:v>
      </x:c>
      <x:c r="F14" s="189" t="n">
        <x:f>MAX(MIN('詳細設定'!$D$15+-0.05,1),0)</x:f>
        <x:v>0.35000000000000003</x:v>
      </x:c>
      <x:c r="G14" s="563" t="n">
        <x:f>'_計算月次'!$J$14</x:f>
        <x:v>408.8269849869007</x:v>
      </x:c>
      <x:c r="H14" s="563" t="n">
        <x:f>'_計算月次'!$K$14</x:f>
        <x:v>315.00000000000006</x:v>
      </x:c>
      <x:c r="I14" s="563" t="n">
        <x:f>(1-MAX(MIN('詳細設定'!$D$16,0.999999),0))^(B14-1)</x:f>
        <x:v>1</x:v>
      </x:c>
      <x:c r="J14" s="563" t="n">
        <x:f>MAX(G14*D14*I14,0)</x:f>
        <x:v>367.94428648821065</x:v>
      </x:c>
      <x:c r="K14" s="563" t="n">
        <x:f>MAX(MIN(J14*F14,H14),0)</x:f>
        <x:v>128.78050027087374</x:v>
      </x:c>
      <x:c r="L14" s="563" t="n">
        <x:f>MAX(J14-K14,0)</x:f>
        <x:v>239.1637862173369</x:v>
      </x:c>
      <x:c r="M14" s="185" t="n">
        <x:f>MAX('詳細設定'!$D$6,0)*(1+'詳細設定'!$D$21)^(B14-1)</x:f>
        <x:v>35</x:v>
      </x:c>
      <x:c r="N14" s="185" t="n">
        <x:f>IF(B14&lt;=MAX(MIN('詳細設定'!$D$8,20),0),MAX('詳細設定'!$D$7,0),IF(B14&lt;=MAX(MIN('詳細設定'!$D$10,20),0),MAX('詳細設定'!$D$9,0),MAX('詳細設定'!$D$11,0)))</x:f>
        <x:v>24</x:v>
      </x:c>
      <x:c r="O14" s="190" t="n">
        <x:f>K14*M14</x:f>
        <x:v>4507.317509480581</x:v>
      </x:c>
      <x:c r="P14" s="190" t="n">
        <x:f>L14*N14</x:f>
        <x:v>5739.930869216086</x:v>
      </x:c>
      <x:c r="Q14" s="190" t="n">
        <x:f>O14+P14</x:f>
        <x:v>10247.248378696666</x:v>
      </x:c>
      <x:c r="R14" s="196" t="n">
        <x:f>J14-K14-L14</x:f>
        <x:v>0</x:v>
      </x:c>
    </x:row>
    <x:row r="15">
      <x:c r="A15" s="20" t="str">
        <x:v>慎重</x:v>
      </x:c>
      <x:c r="B15" s="20" t="n">
        <x:v>1</x:v>
      </x:c>
      <x:c r="C15" s="20" t="n">
        <x:v>11</x:v>
      </x:c>
      <x:c r="D15" s="189" t="n">
        <x:v>0.9</x:v>
      </x:c>
      <x:c r="E15" s="189" t="n">
        <x:v>1.1</x:v>
      </x:c>
      <x:c r="F15" s="189" t="n">
        <x:f>MAX(MIN('詳細設定'!$D$15+-0.05,1),0)</x:f>
        <x:v>0.35000000000000003</x:v>
      </x:c>
      <x:c r="G15" s="563" t="n">
        <x:f>'_計算月次'!$J$15</x:f>
        <x:v>398.45169764745054</x:v>
      </x:c>
      <x:c r="H15" s="563" t="n">
        <x:f>'_計算月次'!$K$15</x:f>
        <x:v>360</x:v>
      </x:c>
      <x:c r="I15" s="563" t="n">
        <x:f>(1-MAX(MIN('詳細設定'!$D$16,0.999999),0))^(B15-1)</x:f>
        <x:v>1</x:v>
      </x:c>
      <x:c r="J15" s="563" t="n">
        <x:f>MAX(G15*D15*I15,0)</x:f>
        <x:v>358.6065278827055</x:v>
      </x:c>
      <x:c r="K15" s="563" t="n">
        <x:f>MAX(MIN(J15*F15,H15),0)</x:f>
        <x:v>125.51228475894693</x:v>
      </x:c>
      <x:c r="L15" s="563" t="n">
        <x:f>MAX(J15-K15,0)</x:f>
        <x:v>233.0942431237586</x:v>
      </x:c>
      <x:c r="M15" s="185" t="n">
        <x:f>MAX('詳細設定'!$D$6,0)*(1+'詳細設定'!$D$21)^(B15-1)</x:f>
        <x:v>35</x:v>
      </x:c>
      <x:c r="N15" s="185" t="n">
        <x:f>IF(B15&lt;=MAX(MIN('詳細設定'!$D$8,20),0),MAX('詳細設定'!$D$7,0),IF(B15&lt;=MAX(MIN('詳細設定'!$D$10,20),0),MAX('詳細設定'!$D$9,0),MAX('詳細設定'!$D$11,0)))</x:f>
        <x:v>24</x:v>
      </x:c>
      <x:c r="O15" s="190" t="n">
        <x:f>K15*M15</x:f>
        <x:v>4392.929966563142</x:v>
      </x:c>
      <x:c r="P15" s="190" t="n">
        <x:f>L15*N15</x:f>
        <x:v>5594.261834970206</x:v>
      </x:c>
      <x:c r="Q15" s="190" t="n">
        <x:f>O15+P15</x:f>
        <x:v>9987.191801533349</x:v>
      </x:c>
      <x:c r="R15" s="196" t="n">
        <x:f>J15-K15-L15</x:f>
        <x:v>0</x:v>
      </x:c>
    </x:row>
    <x:row r="16">
      <x:c r="A16" s="20" t="str">
        <x:v>慎重</x:v>
      </x:c>
      <x:c r="B16" s="20" t="n">
        <x:v>1</x:v>
      </x:c>
      <x:c r="C16" s="20" t="n">
        <x:v>12</x:v>
      </x:c>
      <x:c r="D16" s="189" t="n">
        <x:v>0.9</x:v>
      </x:c>
      <x:c r="E16" s="189" t="n">
        <x:v>1.1</x:v>
      </x:c>
      <x:c r="F16" s="189" t="n">
        <x:f>MAX(MIN('詳細設定'!$D$15+-0.05,1),0)</x:f>
        <x:v>0.35000000000000003</x:v>
      </x:c>
      <x:c r="G16" s="563" t="n">
        <x:f>'_計算月次'!$J$16</x:f>
        <x:v>443.97248688000184</x:v>
      </x:c>
      <x:c r="H16" s="563" t="n">
        <x:f>'_計算月次'!$K$16</x:f>
        <x:v>405</x:v>
      </x:c>
      <x:c r="I16" s="563" t="n">
        <x:f>(1-MAX(MIN('詳細設定'!$D$16,0.999999),0))^(B16-1)</x:f>
        <x:v>1</x:v>
      </x:c>
      <x:c r="J16" s="563" t="n">
        <x:f>MAX(G16*D16*I16,0)</x:f>
        <x:v>399.5752381920017</x:v>
      </x:c>
      <x:c r="K16" s="563" t="n">
        <x:f>MAX(MIN(J16*F16,H16),0)</x:f>
        <x:v>139.8513333672006</x:v>
      </x:c>
      <x:c r="L16" s="563" t="n">
        <x:f>MAX(J16-K16,0)</x:f>
        <x:v>259.7239048248011</x:v>
      </x:c>
      <x:c r="M16" s="185" t="n">
        <x:f>MAX('詳細設定'!$D$6,0)*(1+'詳細設定'!$D$21)^(B16-1)</x:f>
        <x:v>35</x:v>
      </x:c>
      <x:c r="N16" s="185" t="n">
        <x:f>IF(B16&lt;=MAX(MIN('詳細設定'!$D$8,20),0),MAX('詳細設定'!$D$7,0),IF(B16&lt;=MAX(MIN('詳細設定'!$D$10,20),0),MAX('詳細設定'!$D$9,0),MAX('詳細設定'!$D$11,0)))</x:f>
        <x:v>24</x:v>
      </x:c>
      <x:c r="O16" s="190" t="n">
        <x:f>K16*M16</x:f>
        <x:v>4894.796667852021</x:v>
      </x:c>
      <x:c r="P16" s="190" t="n">
        <x:f>L16*N16</x:f>
        <x:v>6233.3737157952255</x:v>
      </x:c>
      <x:c r="Q16" s="190" t="n">
        <x:f>O16+P16</x:f>
        <x:v>11128.170383647246</x:v>
      </x:c>
      <x:c r="R16" s="196" t="n">
        <x:f>J16-K16-L16</x:f>
        <x:v>0</x:v>
      </x:c>
    </x:row>
    <x:row r="17">
      <x:c r="A17" s="20" t="str">
        <x:v>慎重</x:v>
      </x:c>
      <x:c r="B17" s="20" t="n">
        <x:v>2</x:v>
      </x:c>
      <x:c r="C17" s="20" t="n">
        <x:v>1</x:v>
      </x:c>
      <x:c r="D17" s="189" t="n">
        <x:v>0.9</x:v>
      </x:c>
      <x:c r="E17" s="189" t="n">
        <x:v>1.1</x:v>
      </x:c>
      <x:c r="F17" s="189" t="n">
        <x:f>MAX(MIN('詳細設定'!$D$15+-0.05,1),0)</x:f>
        <x:v>0.35000000000000003</x:v>
      </x:c>
      <x:c r="G17" s="563" t="n">
        <x:f>'_計算月次'!$J$5</x:f>
        <x:v>502.4147595742038</x:v>
      </x:c>
      <x:c r="H17" s="563" t="n">
        <x:f>'_計算月次'!$K$5</x:f>
        <x:v>450</x:v>
      </x:c>
      <x:c r="I17" s="563" t="n">
        <x:f>(1-MAX(MIN('詳細設定'!$D$16,0.999999),0))^(B17-1)</x:f>
        <x:v>1</x:v>
      </x:c>
      <x:c r="J17" s="563" t="n">
        <x:f>MAX(G17*D17*I17,0)</x:f>
        <x:v>452.1732836167834</x:v>
      </x:c>
      <x:c r="K17" s="563" t="n">
        <x:f>MAX(MIN(J17*F17,H17),0)</x:f>
        <x:v>158.2606492658742</x:v>
      </x:c>
      <x:c r="L17" s="563" t="n">
        <x:f>MAX(J17-K17,0)</x:f>
        <x:v>293.91263435090923</x:v>
      </x:c>
      <x:c r="M17" s="185" t="n">
        <x:f>MAX('詳細設定'!$D$6,0)*(1+'詳細設定'!$D$21)^(B17-1)</x:f>
        <x:v>35.35</x:v>
      </x:c>
      <x:c r="N17" s="185" t="n">
        <x:f>IF(B17&lt;=MAX(MIN('詳細設定'!$D$8,20),0),MAX('詳細設定'!$D$7,0),IF(B17&lt;=MAX(MIN('詳細設定'!$D$10,20),0),MAX('詳細設定'!$D$9,0),MAX('詳細設定'!$D$11,0)))</x:f>
        <x:v>24</x:v>
      </x:c>
      <x:c r="O17" s="190" t="n">
        <x:f>K17*M17</x:f>
        <x:v>5594.5139515486535</x:v>
      </x:c>
      <x:c r="P17" s="190" t="n">
        <x:f>L17*N17</x:f>
        <x:v>7053.9032244218215</x:v>
      </x:c>
      <x:c r="Q17" s="190" t="n">
        <x:f>O17+P17</x:f>
        <x:v>12648.417175970475</x:v>
      </x:c>
      <x:c r="R17" s="196" t="n">
        <x:f>J17-K17-L17</x:f>
        <x:v>0</x:v>
      </x:c>
    </x:row>
    <x:row r="18">
      <x:c r="A18" s="20" t="str">
        <x:v>慎重</x:v>
      </x:c>
      <x:c r="B18" s="20" t="n">
        <x:v>2</x:v>
      </x:c>
      <x:c r="C18" s="20" t="n">
        <x:v>2</x:v>
      </x:c>
      <x:c r="D18" s="189" t="n">
        <x:v>0.9</x:v>
      </x:c>
      <x:c r="E18" s="189" t="n">
        <x:v>1.1</x:v>
      </x:c>
      <x:c r="F18" s="189" t="n">
        <x:f>MAX(MIN('詳細設定'!$D$15+-0.05,1),0)</x:f>
        <x:v>0.35000000000000003</x:v>
      </x:c>
      <x:c r="G18" s="563" t="n">
        <x:f>'_計算月次'!$J$6</x:f>
        <x:v>472.4508339500229</x:v>
      </x:c>
      <x:c r="H18" s="563" t="n">
        <x:f>'_計算月次'!$K$6</x:f>
        <x:v>405</x:v>
      </x:c>
      <x:c r="I18" s="563" t="n">
        <x:f>(1-MAX(MIN('詳細設定'!$D$16,0.999999),0))^(B18-1)</x:f>
        <x:v>1</x:v>
      </x:c>
      <x:c r="J18" s="563" t="n">
        <x:f>MAX(G18*D18*I18,0)</x:f>
        <x:v>425.20575055502064</x:v>
      </x:c>
      <x:c r="K18" s="563" t="n">
        <x:f>MAX(MIN(J18*F18,H18),0)</x:f>
        <x:v>148.82201269425724</x:v>
      </x:c>
      <x:c r="L18" s="563" t="n">
        <x:f>MAX(J18-K18,0)</x:f>
        <x:v>276.3837378607634</x:v>
      </x:c>
      <x:c r="M18" s="185" t="n">
        <x:f>MAX('詳細設定'!$D$6,0)*(1+'詳細設定'!$D$21)^(B18-1)</x:f>
        <x:v>35.35</x:v>
      </x:c>
      <x:c r="N18" s="185" t="n">
        <x:f>IF(B18&lt;=MAX(MIN('詳細設定'!$D$8,20),0),MAX('詳細設定'!$D$7,0),IF(B18&lt;=MAX(MIN('詳細設定'!$D$10,20),0),MAX('詳細設定'!$D$9,0),MAX('詳細設定'!$D$11,0)))</x:f>
        <x:v>24</x:v>
      </x:c>
      <x:c r="O18" s="190" t="n">
        <x:f>K18*M18</x:f>
        <x:v>5260.858148741993</x:v>
      </x:c>
      <x:c r="P18" s="190" t="n">
        <x:f>L18*N18</x:f>
        <x:v>6633.209708658322</x:v>
      </x:c>
      <x:c r="Q18" s="190" t="n">
        <x:f>O18+P18</x:f>
        <x:v>11894.067857400314</x:v>
      </x:c>
      <x:c r="R18" s="196" t="n">
        <x:f>J18-K18-L18</x:f>
        <x:v>0</x:v>
      </x:c>
    </x:row>
    <x:row r="19">
      <x:c r="A19" s="20" t="str">
        <x:v>慎重</x:v>
      </x:c>
      <x:c r="B19" s="20" t="n">
        <x:v>2</x:v>
      </x:c>
      <x:c r="C19" s="20" t="n">
        <x:v>3</x:v>
      </x:c>
      <x:c r="D19" s="189" t="n">
        <x:v>0.9</x:v>
      </x:c>
      <x:c r="E19" s="189" t="n">
        <x:v>1.1</x:v>
      </x:c>
      <x:c r="F19" s="189" t="n">
        <x:f>MAX(MIN('詳細設定'!$D$15+-0.05,1),0)</x:f>
        <x:v>0.35000000000000003</x:v>
      </x:c>
      <x:c r="G19" s="563" t="n">
        <x:f>'_計算月次'!$J$7</x:f>
        <x:v>548.3418864753118</x:v>
      </x:c>
      <x:c r="H19" s="563" t="n">
        <x:f>'_計算月次'!$K$7</x:f>
        <x:v>360</x:v>
      </x:c>
      <x:c r="I19" s="563" t="n">
        <x:f>(1-MAX(MIN('詳細設定'!$D$16,0.999999),0))^(B19-1)</x:f>
        <x:v>1</x:v>
      </x:c>
      <x:c r="J19" s="563" t="n">
        <x:f>MAX(G19*D19*I19,0)</x:f>
        <x:v>493.5076978277806</x:v>
      </x:c>
      <x:c r="K19" s="563" t="n">
        <x:f>MAX(MIN(J19*F19,H19),0)</x:f>
        <x:v>172.72769423972323</x:v>
      </x:c>
      <x:c r="L19" s="563" t="n">
        <x:f>MAX(J19-K19,0)</x:f>
        <x:v>320.78000358805735</x:v>
      </x:c>
      <x:c r="M19" s="185" t="n">
        <x:f>MAX('詳細設定'!$D$6,0)*(1+'詳細設定'!$D$21)^(B19-1)</x:f>
        <x:v>35.35</x:v>
      </x:c>
      <x:c r="N19" s="185" t="n">
        <x:f>IF(B19&lt;=MAX(MIN('詳細設定'!$D$8,20),0),MAX('詳細設定'!$D$7,0),IF(B19&lt;=MAX(MIN('詳細設定'!$D$10,20),0),MAX('詳細設定'!$D$9,0),MAX('詳細設定'!$D$11,0)))</x:f>
        <x:v>24</x:v>
      </x:c>
      <x:c r="O19" s="190" t="n">
        <x:f>K19*M19</x:f>
        <x:v>6105.923991374217</x:v>
      </x:c>
      <x:c r="P19" s="190" t="n">
        <x:f>L19*N19</x:f>
        <x:v>7698.720086113377</x:v>
      </x:c>
      <x:c r="Q19" s="190" t="n">
        <x:f>O19+P19</x:f>
        <x:v>13804.644077487594</x:v>
      </x:c>
      <x:c r="R19" s="196" t="n">
        <x:f>J19-K19-L19</x:f>
        <x:v>0</x:v>
      </x:c>
    </x:row>
    <x:row r="20">
      <x:c r="A20" s="20" t="str">
        <x:v>慎重</x:v>
      </x:c>
      <x:c r="B20" s="20" t="n">
        <x:v>2</x:v>
      </x:c>
      <x:c r="C20" s="20" t="n">
        <x:v>4</x:v>
      </x:c>
      <x:c r="D20" s="189" t="n">
        <x:v>0.9</x:v>
      </x:c>
      <x:c r="E20" s="189" t="n">
        <x:v>1.1</x:v>
      </x:c>
      <x:c r="F20" s="189" t="n">
        <x:f>MAX(MIN('詳細設定'!$D$15+-0.05,1),0)</x:f>
        <x:v>0.35000000000000003</x:v>
      </x:c>
      <x:c r="G20" s="563" t="n">
        <x:f>'_計算月次'!$J$8</x:f>
        <x:v>548.3944393749554</x:v>
      </x:c>
      <x:c r="H20" s="563" t="n">
        <x:f>'_計算月次'!$K$8</x:f>
        <x:v>315.00000000000006</x:v>
      </x:c>
      <x:c r="I20" s="563" t="n">
        <x:f>(1-MAX(MIN('詳細設定'!$D$16,0.999999),0))^(B20-1)</x:f>
        <x:v>1</x:v>
      </x:c>
      <x:c r="J20" s="563" t="n">
        <x:f>MAX(G20*D20*I20,0)</x:f>
        <x:v>493.55499543745987</x:v>
      </x:c>
      <x:c r="K20" s="563" t="n">
        <x:f>MAX(MIN(J20*F20,H20),0)</x:f>
        <x:v>172.74424840311096</x:v>
      </x:c>
      <x:c r="L20" s="563" t="n">
        <x:f>MAX(J20-K20,0)</x:f>
        <x:v>320.8107470343489</x:v>
      </x:c>
      <x:c r="M20" s="185" t="n">
        <x:f>MAX('詳細設定'!$D$6,0)*(1+'詳細設定'!$D$21)^(B20-1)</x:f>
        <x:v>35.35</x:v>
      </x:c>
      <x:c r="N20" s="185" t="n">
        <x:f>IF(B20&lt;=MAX(MIN('詳細設定'!$D$8,20),0),MAX('詳細設定'!$D$7,0),IF(B20&lt;=MAX(MIN('詳細設定'!$D$10,20),0),MAX('詳細設定'!$D$9,0),MAX('詳細設定'!$D$11,0)))</x:f>
        <x:v>24</x:v>
      </x:c>
      <x:c r="O20" s="190" t="n">
        <x:f>K20*M20</x:f>
        <x:v>6106.5091810499725</x:v>
      </x:c>
      <x:c r="P20" s="190" t="n">
        <x:f>L20*N20</x:f>
        <x:v>7699.457928824373</x:v>
      </x:c>
      <x:c r="Q20" s="190" t="n">
        <x:f>O20+P20</x:f>
        <x:v>13805.967109874346</x:v>
      </x:c>
      <x:c r="R20" s="196" t="n">
        <x:f>J20-K20-L20</x:f>
        <x:v>0</x:v>
      </x:c>
    </x:row>
    <x:row r="21">
      <x:c r="A21" s="20" t="str">
        <x:v>慎重</x:v>
      </x:c>
      <x:c r="B21" s="20" t="n">
        <x:v>2</x:v>
      </x:c>
      <x:c r="C21" s="20" t="n">
        <x:v>5</x:v>
      </x:c>
      <x:c r="D21" s="189" t="n">
        <x:v>0.9</x:v>
      </x:c>
      <x:c r="E21" s="189" t="n">
        <x:v>1.1</x:v>
      </x:c>
      <x:c r="F21" s="189" t="n">
        <x:f>MAX(MIN('詳細設定'!$D$15+-0.05,1),0)</x:f>
        <x:v>0.35000000000000003</x:v>
      </x:c>
      <x:c r="G21" s="563" t="n">
        <x:f>'_計算月次'!$J$9</x:f>
        <x:v>552.2367574934775</x:v>
      </x:c>
      <x:c r="H21" s="563" t="n">
        <x:f>'_計算月次'!$K$9</x:f>
        <x:v>315.00000000000006</x:v>
      </x:c>
      <x:c r="I21" s="563" t="n">
        <x:f>(1-MAX(MIN('詳細設定'!$D$16,0.999999),0))^(B21-1)</x:f>
        <x:v>1</x:v>
      </x:c>
      <x:c r="J21" s="563" t="n">
        <x:f>MAX(G21*D21*I21,0)</x:f>
        <x:v>497.01308174412975</x:v>
      </x:c>
      <x:c r="K21" s="563" t="n">
        <x:f>MAX(MIN(J21*F21,H21),0)</x:f>
        <x:v>173.95457861044542</x:v>
      </x:c>
      <x:c r="L21" s="563" t="n">
        <x:f>MAX(J21-K21,0)</x:f>
        <x:v>323.0585031336843</x:v>
      </x:c>
      <x:c r="M21" s="185" t="n">
        <x:f>MAX('詳細設定'!$D$6,0)*(1+'詳細設定'!$D$21)^(B21-1)</x:f>
        <x:v>35.35</x:v>
      </x:c>
      <x:c r="N21" s="185" t="n">
        <x:f>IF(B21&lt;=MAX(MIN('詳細設定'!$D$8,20),0),MAX('詳細設定'!$D$7,0),IF(B21&lt;=MAX(MIN('詳細設定'!$D$10,20),0),MAX('詳細設定'!$D$9,0),MAX('詳細設定'!$D$11,0)))</x:f>
        <x:v>24</x:v>
      </x:c>
      <x:c r="O21" s="190" t="n">
        <x:f>K21*M21</x:f>
        <x:v>6149.294353879246</x:v>
      </x:c>
      <x:c r="P21" s="190" t="n">
        <x:f>L21*N21</x:f>
        <x:v>7753.404075208424</x:v>
      </x:c>
      <x:c r="Q21" s="190" t="n">
        <x:f>O21+P21</x:f>
        <x:v>13902.69842908767</x:v>
      </x:c>
      <x:c r="R21" s="196" t="n">
        <x:f>J21-K21-L21</x:f>
        <x:v>0</x:v>
      </x:c>
    </x:row>
    <x:row r="22">
      <x:c r="A22" s="20" t="str">
        <x:v>慎重</x:v>
      </x:c>
      <x:c r="B22" s="20" t="n">
        <x:v>2</x:v>
      </x:c>
      <x:c r="C22" s="20" t="n">
        <x:v>6</x:v>
      </x:c>
      <x:c r="D22" s="189" t="n">
        <x:v>0.9</x:v>
      </x:c>
      <x:c r="E22" s="189" t="n">
        <x:v>1.1</x:v>
      </x:c>
      <x:c r="F22" s="189" t="n">
        <x:f>MAX(MIN('詳細設定'!$D$15+-0.05,1),0)</x:f>
        <x:v>0.35000000000000003</x:v>
      </x:c>
      <x:c r="G22" s="563" t="n">
        <x:f>'_計算月次'!$J$10</x:f>
        <x:v>448.7994857612148</x:v>
      </x:c>
      <x:c r="H22" s="563" t="n">
        <x:f>'_計算月次'!$K$10</x:f>
        <x:v>360</x:v>
      </x:c>
      <x:c r="I22" s="563" t="n">
        <x:f>(1-MAX(MIN('詳細設定'!$D$16,0.999999),0))^(B22-1)</x:f>
        <x:v>1</x:v>
      </x:c>
      <x:c r="J22" s="563" t="n">
        <x:f>MAX(G22*D22*I22,0)</x:f>
        <x:v>403.9195371850933</x:v>
      </x:c>
      <x:c r="K22" s="563" t="n">
        <x:f>MAX(MIN(J22*F22,H22),0)</x:f>
        <x:v>141.37183801478267</x:v>
      </x:c>
      <x:c r="L22" s="563" t="n">
        <x:f>MAX(J22-K22,0)</x:f>
        <x:v>262.54769917031064</x:v>
      </x:c>
      <x:c r="M22" s="185" t="n">
        <x:f>MAX('詳細設定'!$D$6,0)*(1+'詳細設定'!$D$21)^(B22-1)</x:f>
        <x:v>35.35</x:v>
      </x:c>
      <x:c r="N22" s="185" t="n">
        <x:f>IF(B22&lt;=MAX(MIN('詳細設定'!$D$8,20),0),MAX('詳細設定'!$D$7,0),IF(B22&lt;=MAX(MIN('詳細設定'!$D$10,20),0),MAX('詳細設定'!$D$9,0),MAX('詳細設定'!$D$11,0)))</x:f>
        <x:v>24</x:v>
      </x:c>
      <x:c r="O22" s="190" t="n">
        <x:f>K22*M22</x:f>
        <x:v>4997.494473822568</x:v>
      </x:c>
      <x:c r="P22" s="190" t="n">
        <x:f>L22*N22</x:f>
        <x:v>6301.144780087456</x:v>
      </x:c>
      <x:c r="Q22" s="190" t="n">
        <x:f>O22+P22</x:f>
        <x:v>11298.639253910023</x:v>
      </x:c>
      <x:c r="R22" s="196" t="n">
        <x:f>J22-K22-L22</x:f>
        <x:v>0</x:v>
      </x:c>
    </x:row>
    <x:row r="23">
      <x:c r="A23" s="20" t="str">
        <x:v>慎重</x:v>
      </x:c>
      <x:c r="B23" s="20" t="n">
        <x:v>2</x:v>
      </x:c>
      <x:c r="C23" s="20" t="n">
        <x:v>7</x:v>
      </x:c>
      <x:c r="D23" s="189" t="n">
        <x:v>0.9</x:v>
      </x:c>
      <x:c r="E23" s="189" t="n">
        <x:v>1.1</x:v>
      </x:c>
      <x:c r="F23" s="189" t="n">
        <x:f>MAX(MIN('詳細設定'!$D$15+-0.05,1),0)</x:f>
        <x:v>0.35000000000000003</x:v>
      </x:c>
      <x:c r="G23" s="563" t="n">
        <x:f>'_計算月次'!$J$11</x:f>
        <x:v>476.0181638067866</x:v>
      </x:c>
      <x:c r="H23" s="563" t="n">
        <x:f>'_計算月次'!$K$11</x:f>
        <x:v>405</x:v>
      </x:c>
      <x:c r="I23" s="563" t="n">
        <x:f>(1-MAX(MIN('詳細設定'!$D$16,0.999999),0))^(B23-1)</x:f>
        <x:v>1</x:v>
      </x:c>
      <x:c r="J23" s="563" t="n">
        <x:f>MAX(G23*D23*I23,0)</x:f>
        <x:v>428.41634742610796</x:v>
      </x:c>
      <x:c r="K23" s="563" t="n">
        <x:f>MAX(MIN(J23*F23,H23),0)</x:f>
        <x:v>149.9457215991378</x:v>
      </x:c>
      <x:c r="L23" s="563" t="n">
        <x:f>MAX(J23-K23,0)</x:f>
        <x:v>278.47062582697015</x:v>
      </x:c>
      <x:c r="M23" s="185" t="n">
        <x:f>MAX('詳細設定'!$D$6,0)*(1+'詳細設定'!$D$21)^(B23-1)</x:f>
        <x:v>35.35</x:v>
      </x:c>
      <x:c r="N23" s="185" t="n">
        <x:f>IF(B23&lt;=MAX(MIN('詳細設定'!$D$8,20),0),MAX('詳細設定'!$D$7,0),IF(B23&lt;=MAX(MIN('詳細設定'!$D$10,20),0),MAX('詳細設定'!$D$9,0),MAX('詳細設定'!$D$11,0)))</x:f>
        <x:v>24</x:v>
      </x:c>
      <x:c r="O23" s="190" t="n">
        <x:f>K23*M23</x:f>
        <x:v>5300.581258529522</x:v>
      </x:c>
      <x:c r="P23" s="190" t="n">
        <x:f>L23*N23</x:f>
        <x:v>6683.295019847284</x:v>
      </x:c>
      <x:c r="Q23" s="190" t="n">
        <x:f>O23+P23</x:f>
        <x:v>11983.876278376805</x:v>
      </x:c>
      <x:c r="R23" s="196" t="n">
        <x:f>J23-K23-L23</x:f>
        <x:v>0</x:v>
      </x:c>
    </x:row>
    <x:row r="24">
      <x:c r="A24" s="20" t="str">
        <x:v>慎重</x:v>
      </x:c>
      <x:c r="B24" s="20" t="n">
        <x:v>2</x:v>
      </x:c>
      <x:c r="C24" s="20" t="n">
        <x:v>8</x:v>
      </x:c>
      <x:c r="D24" s="189" t="n">
        <x:v>0.9</x:v>
      </x:c>
      <x:c r="E24" s="189" t="n">
        <x:v>1.1</x:v>
      </x:c>
      <x:c r="F24" s="189" t="n">
        <x:f>MAX(MIN('詳細設定'!$D$15+-0.05,1),0)</x:f>
        <x:v>0.35000000000000003</x:v>
      </x:c>
      <x:c r="G24" s="563" t="n">
        <x:f>'_計算月次'!$J$12</x:f>
        <x:v>528.6548067323699</x:v>
      </x:c>
      <x:c r="H24" s="563" t="n">
        <x:f>'_計算月次'!$K$12</x:f>
        <x:v>450</x:v>
      </x:c>
      <x:c r="I24" s="563" t="n">
        <x:f>(1-MAX(MIN('詳細設定'!$D$16,0.999999),0))^(B24-1)</x:f>
        <x:v>1</x:v>
      </x:c>
      <x:c r="J24" s="563" t="n">
        <x:f>MAX(G24*D24*I24,0)</x:f>
        <x:v>475.789326059133</x:v>
      </x:c>
      <x:c r="K24" s="563" t="n">
        <x:f>MAX(MIN(J24*F24,H24),0)</x:f>
        <x:v>166.52626412069657</x:v>
      </x:c>
      <x:c r="L24" s="563" t="n">
        <x:f>MAX(J24-K24,0)</x:f>
        <x:v>309.2630619384364</x:v>
      </x:c>
      <x:c r="M24" s="185" t="n">
        <x:f>MAX('詳細設定'!$D$6,0)*(1+'詳細設定'!$D$21)^(B24-1)</x:f>
        <x:v>35.35</x:v>
      </x:c>
      <x:c r="N24" s="185" t="n">
        <x:f>IF(B24&lt;=MAX(MIN('詳細設定'!$D$8,20),0),MAX('詳細設定'!$D$7,0),IF(B24&lt;=MAX(MIN('詳細設定'!$D$10,20),0),MAX('詳細設定'!$D$9,0),MAX('詳細設定'!$D$11,0)))</x:f>
        <x:v>24</x:v>
      </x:c>
      <x:c r="O24" s="190" t="n">
        <x:f>K24*M24</x:f>
        <x:v>5886.703436666624</x:v>
      </x:c>
      <x:c r="P24" s="190" t="n">
        <x:f>L24*N24</x:f>
        <x:v>7422.313486522474</x:v>
      </x:c>
      <x:c r="Q24" s="190" t="n">
        <x:f>O24+P24</x:f>
        <x:v>13309.016923189098</x:v>
      </x:c>
      <x:c r="R24" s="196" t="n">
        <x:f>J24-K24-L24</x:f>
        <x:v>0</x:v>
      </x:c>
    </x:row>
    <x:row r="25">
      <x:c r="A25" s="20" t="str">
        <x:v>慎重</x:v>
      </x:c>
      <x:c r="B25" s="20" t="n">
        <x:v>2</x:v>
      </x:c>
      <x:c r="C25" s="20" t="n">
        <x:v>9</x:v>
      </x:c>
      <x:c r="D25" s="189" t="n">
        <x:v>0.9</x:v>
      </x:c>
      <x:c r="E25" s="189" t="n">
        <x:v>1.1</x:v>
      </x:c>
      <x:c r="F25" s="189" t="n">
        <x:f>MAX(MIN('詳細設定'!$D$15+-0.05,1),0)</x:f>
        <x:v>0.35000000000000003</x:v>
      </x:c>
      <x:c r="G25" s="563" t="n">
        <x:f>'_計算月次'!$J$13</x:f>
        <x:v>436.37734765103465</x:v>
      </x:c>
      <x:c r="H25" s="563" t="n">
        <x:f>'_計算月次'!$K$13</x:f>
        <x:v>360</x:v>
      </x:c>
      <x:c r="I25" s="563" t="n">
        <x:f>(1-MAX(MIN('詳細設定'!$D$16,0.999999),0))^(B25-1)</x:f>
        <x:v>1</x:v>
      </x:c>
      <x:c r="J25" s="563" t="n">
        <x:f>MAX(G25*D25*I25,0)</x:f>
        <x:v>392.7396128859312</x:v>
      </x:c>
      <x:c r="K25" s="563" t="n">
        <x:f>MAX(MIN(J25*F25,H25),0)</x:f>
        <x:v>137.45886451007593</x:v>
      </x:c>
      <x:c r="L25" s="563" t="n">
        <x:f>MAX(J25-K25,0)</x:f>
        <x:v>255.28074837585527</x:v>
      </x:c>
      <x:c r="M25" s="185" t="n">
        <x:f>MAX('詳細設定'!$D$6,0)*(1+'詳細設定'!$D$21)^(B25-1)</x:f>
        <x:v>35.35</x:v>
      </x:c>
      <x:c r="N25" s="185" t="n">
        <x:f>IF(B25&lt;=MAX(MIN('詳細設定'!$D$8,20),0),MAX('詳細設定'!$D$7,0),IF(B25&lt;=MAX(MIN('詳細設定'!$D$10,20),0),MAX('詳細設定'!$D$9,0),MAX('詳細設定'!$D$11,0)))</x:f>
        <x:v>24</x:v>
      </x:c>
      <x:c r="O25" s="190" t="n">
        <x:f>K25*M25</x:f>
        <x:v>4859.170860431184</x:v>
      </x:c>
      <x:c r="P25" s="190" t="n">
        <x:f>L25*N25</x:f>
        <x:v>6126.737961020526</x:v>
      </x:c>
      <x:c r="Q25" s="190" t="n">
        <x:f>O25+P25</x:f>
        <x:v>10985.90882145171</x:v>
      </x:c>
      <x:c r="R25" s="196" t="n">
        <x:f>J25-K25-L25</x:f>
        <x:v>0</x:v>
      </x:c>
    </x:row>
    <x:row r="26">
      <x:c r="A26" s="20" t="str">
        <x:v>慎重</x:v>
      </x:c>
      <x:c r="B26" s="20" t="n">
        <x:v>2</x:v>
      </x:c>
      <x:c r="C26" s="20" t="n">
        <x:v>10</x:v>
      </x:c>
      <x:c r="D26" s="189" t="n">
        <x:v>0.9</x:v>
      </x:c>
      <x:c r="E26" s="189" t="n">
        <x:v>1.1</x:v>
      </x:c>
      <x:c r="F26" s="189" t="n">
        <x:f>MAX(MIN('詳細設定'!$D$15+-0.05,1),0)</x:f>
        <x:v>0.35000000000000003</x:v>
      </x:c>
      <x:c r="G26" s="563" t="n">
        <x:f>'_計算月次'!$J$14</x:f>
        <x:v>408.8269849869007</x:v>
      </x:c>
      <x:c r="H26" s="563" t="n">
        <x:f>'_計算月次'!$K$14</x:f>
        <x:v>315.00000000000006</x:v>
      </x:c>
      <x:c r="I26" s="563" t="n">
        <x:f>(1-MAX(MIN('詳細設定'!$D$16,0.999999),0))^(B26-1)</x:f>
        <x:v>1</x:v>
      </x:c>
      <x:c r="J26" s="563" t="n">
        <x:f>MAX(G26*D26*I26,0)</x:f>
        <x:v>367.94428648821065</x:v>
      </x:c>
      <x:c r="K26" s="563" t="n">
        <x:f>MAX(MIN(J26*F26,H26),0)</x:f>
        <x:v>128.78050027087374</x:v>
      </x:c>
      <x:c r="L26" s="563" t="n">
        <x:f>MAX(J26-K26,0)</x:f>
        <x:v>239.1637862173369</x:v>
      </x:c>
      <x:c r="M26" s="185" t="n">
        <x:f>MAX('詳細設定'!$D$6,0)*(1+'詳細設定'!$D$21)^(B26-1)</x:f>
        <x:v>35.35</x:v>
      </x:c>
      <x:c r="N26" s="185" t="n">
        <x:f>IF(B26&lt;=MAX(MIN('詳細設定'!$D$8,20),0),MAX('詳細設定'!$D$7,0),IF(B26&lt;=MAX(MIN('詳細設定'!$D$10,20),0),MAX('詳細設定'!$D$9,0),MAX('詳細設定'!$D$11,0)))</x:f>
        <x:v>24</x:v>
      </x:c>
      <x:c r="O26" s="190" t="n">
        <x:f>K26*M26</x:f>
        <x:v>4552.390684575387</x:v>
      </x:c>
      <x:c r="P26" s="190" t="n">
        <x:f>L26*N26</x:f>
        <x:v>5739.930869216086</x:v>
      </x:c>
      <x:c r="Q26" s="190" t="n">
        <x:f>O26+P26</x:f>
        <x:v>10292.321553791473</x:v>
      </x:c>
      <x:c r="R26" s="196" t="n">
        <x:f>J26-K26-L26</x:f>
        <x:v>0</x:v>
      </x:c>
    </x:row>
    <x:row r="27">
      <x:c r="A27" s="20" t="str">
        <x:v>慎重</x:v>
      </x:c>
      <x:c r="B27" s="20" t="n">
        <x:v>2</x:v>
      </x:c>
      <x:c r="C27" s="20" t="n">
        <x:v>11</x:v>
      </x:c>
      <x:c r="D27" s="189" t="n">
        <x:v>0.9</x:v>
      </x:c>
      <x:c r="E27" s="189" t="n">
        <x:v>1.1</x:v>
      </x:c>
      <x:c r="F27" s="189" t="n">
        <x:f>MAX(MIN('詳細設定'!$D$15+-0.05,1),0)</x:f>
        <x:v>0.35000000000000003</x:v>
      </x:c>
      <x:c r="G27" s="563" t="n">
        <x:f>'_計算月次'!$J$15</x:f>
        <x:v>398.45169764745054</x:v>
      </x:c>
      <x:c r="H27" s="563" t="n">
        <x:f>'_計算月次'!$K$15</x:f>
        <x:v>360</x:v>
      </x:c>
      <x:c r="I27" s="563" t="n">
        <x:f>(1-MAX(MIN('詳細設定'!$D$16,0.999999),0))^(B27-1)</x:f>
        <x:v>1</x:v>
      </x:c>
      <x:c r="J27" s="563" t="n">
        <x:f>MAX(G27*D27*I27,0)</x:f>
        <x:v>358.6065278827055</x:v>
      </x:c>
      <x:c r="K27" s="563" t="n">
        <x:f>MAX(MIN(J27*F27,H27),0)</x:f>
        <x:v>125.51228475894693</x:v>
      </x:c>
      <x:c r="L27" s="563" t="n">
        <x:f>MAX(J27-K27,0)</x:f>
        <x:v>233.0942431237586</x:v>
      </x:c>
      <x:c r="M27" s="185" t="n">
        <x:f>MAX('詳細設定'!$D$6,0)*(1+'詳細設定'!$D$21)^(B27-1)</x:f>
        <x:v>35.35</x:v>
      </x:c>
      <x:c r="N27" s="185" t="n">
        <x:f>IF(B27&lt;=MAX(MIN('詳細設定'!$D$8,20),0),MAX('詳細設定'!$D$7,0),IF(B27&lt;=MAX(MIN('詳細設定'!$D$10,20),0),MAX('詳細設定'!$D$9,0),MAX('詳細設定'!$D$11,0)))</x:f>
        <x:v>24</x:v>
      </x:c>
      <x:c r="O27" s="190" t="n">
        <x:f>K27*M27</x:f>
        <x:v>4436.859266228775</x:v>
      </x:c>
      <x:c r="P27" s="190" t="n">
        <x:f>L27*N27</x:f>
        <x:v>5594.261834970206</x:v>
      </x:c>
      <x:c r="Q27" s="190" t="n">
        <x:f>O27+P27</x:f>
        <x:v>10031.12110119898</x:v>
      </x:c>
      <x:c r="R27" s="196" t="n">
        <x:f>J27-K27-L27</x:f>
        <x:v>0</x:v>
      </x:c>
    </x:row>
    <x:row r="28">
      <x:c r="A28" s="20" t="str">
        <x:v>慎重</x:v>
      </x:c>
      <x:c r="B28" s="20" t="n">
        <x:v>2</x:v>
      </x:c>
      <x:c r="C28" s="20" t="n">
        <x:v>12</x:v>
      </x:c>
      <x:c r="D28" s="189" t="n">
        <x:v>0.9</x:v>
      </x:c>
      <x:c r="E28" s="189" t="n">
        <x:v>1.1</x:v>
      </x:c>
      <x:c r="F28" s="189" t="n">
        <x:f>MAX(MIN('詳細設定'!$D$15+-0.05,1),0)</x:f>
        <x:v>0.35000000000000003</x:v>
      </x:c>
      <x:c r="G28" s="563" t="n">
        <x:f>'_計算月次'!$J$16</x:f>
        <x:v>443.97248688000184</x:v>
      </x:c>
      <x:c r="H28" s="563" t="n">
        <x:f>'_計算月次'!$K$16</x:f>
        <x:v>405</x:v>
      </x:c>
      <x:c r="I28" s="563" t="n">
        <x:f>(1-MAX(MIN('詳細設定'!$D$16,0.999999),0))^(B28-1)</x:f>
        <x:v>1</x:v>
      </x:c>
      <x:c r="J28" s="563" t="n">
        <x:f>MAX(G28*D28*I28,0)</x:f>
        <x:v>399.5752381920017</x:v>
      </x:c>
      <x:c r="K28" s="563" t="n">
        <x:f>MAX(MIN(J28*F28,H28),0)</x:f>
        <x:v>139.8513333672006</x:v>
      </x:c>
      <x:c r="L28" s="563" t="n">
        <x:f>MAX(J28-K28,0)</x:f>
        <x:v>259.7239048248011</x:v>
      </x:c>
      <x:c r="M28" s="185" t="n">
        <x:f>MAX('詳細設定'!$D$6,0)*(1+'詳細設定'!$D$21)^(B28-1)</x:f>
        <x:v>35.35</x:v>
      </x:c>
      <x:c r="N28" s="185" t="n">
        <x:f>IF(B28&lt;=MAX(MIN('詳細設定'!$D$8,20),0),MAX('詳細設定'!$D$7,0),IF(B28&lt;=MAX(MIN('詳細設定'!$D$10,20),0),MAX('詳細設定'!$D$9,0),MAX('詳細設定'!$D$11,0)))</x:f>
        <x:v>24</x:v>
      </x:c>
      <x:c r="O28" s="190" t="n">
        <x:f>K28*M28</x:f>
        <x:v>4943.744634530542</x:v>
      </x:c>
      <x:c r="P28" s="190" t="n">
        <x:f>L28*N28</x:f>
        <x:v>6233.3737157952255</x:v>
      </x:c>
      <x:c r="Q28" s="190" t="n">
        <x:f>O28+P28</x:f>
        <x:v>11177.118350325767</x:v>
      </x:c>
      <x:c r="R28" s="196" t="n">
        <x:f>J28-K28-L28</x:f>
        <x:v>0</x:v>
      </x:c>
    </x:row>
    <x:row r="29">
      <x:c r="A29" s="20" t="str">
        <x:v>慎重</x:v>
      </x:c>
      <x:c r="B29" s="20" t="n">
        <x:v>3</x:v>
      </x:c>
      <x:c r="C29" s="20" t="n">
        <x:v>1</x:v>
      </x:c>
      <x:c r="D29" s="189" t="n">
        <x:v>0.9</x:v>
      </x:c>
      <x:c r="E29" s="189" t="n">
        <x:v>1.1</x:v>
      </x:c>
      <x:c r="F29" s="189" t="n">
        <x:f>MAX(MIN('詳細設定'!$D$15+-0.05,1),0)</x:f>
        <x:v>0.35000000000000003</x:v>
      </x:c>
      <x:c r="G29" s="563" t="n">
        <x:f>'_計算月次'!$J$5</x:f>
        <x:v>502.4147595742038</x:v>
      </x:c>
      <x:c r="H29" s="563" t="n">
        <x:f>'_計算月次'!$K$5</x:f>
        <x:v>450</x:v>
      </x:c>
      <x:c r="I29" s="563" t="n">
        <x:f>(1-MAX(MIN('詳細設定'!$D$16,0.999999),0))^(B29-1)</x:f>
        <x:v>1</x:v>
      </x:c>
      <x:c r="J29" s="563" t="n">
        <x:f>MAX(G29*D29*I29,0)</x:f>
        <x:v>452.1732836167834</x:v>
      </x:c>
      <x:c r="K29" s="563" t="n">
        <x:f>MAX(MIN(J29*F29,H29),0)</x:f>
        <x:v>158.2606492658742</x:v>
      </x:c>
      <x:c r="L29" s="563" t="n">
        <x:f>MAX(J29-K29,0)</x:f>
        <x:v>293.91263435090923</x:v>
      </x:c>
      <x:c r="M29" s="185" t="n">
        <x:f>MAX('詳細設定'!$D$6,0)*(1+'詳細設定'!$D$21)^(B29-1)</x:f>
        <x:v>35.7035</x:v>
      </x:c>
      <x:c r="N29" s="185" t="n">
        <x:f>IF(B29&lt;=MAX(MIN('詳細設定'!$D$8,20),0),MAX('詳細設定'!$D$7,0),IF(B29&lt;=MAX(MIN('詳細設定'!$D$10,20),0),MAX('詳細設定'!$D$9,0),MAX('詳細設定'!$D$11,0)))</x:f>
        <x:v>24</x:v>
      </x:c>
      <x:c r="O29" s="190" t="n">
        <x:f>K29*M29</x:f>
        <x:v>5650.459091064139</x:v>
      </x:c>
      <x:c r="P29" s="190" t="n">
        <x:f>L29*N29</x:f>
        <x:v>7053.9032244218215</x:v>
      </x:c>
      <x:c r="Q29" s="190" t="n">
        <x:f>O29+P29</x:f>
        <x:v>12704.36231548596</x:v>
      </x:c>
      <x:c r="R29" s="196" t="n">
        <x:f>J29-K29-L29</x:f>
        <x:v>0</x:v>
      </x:c>
    </x:row>
    <x:row r="30">
      <x:c r="A30" s="20" t="str">
        <x:v>慎重</x:v>
      </x:c>
      <x:c r="B30" s="20" t="n">
        <x:v>3</x:v>
      </x:c>
      <x:c r="C30" s="20" t="n">
        <x:v>2</x:v>
      </x:c>
      <x:c r="D30" s="189" t="n">
        <x:v>0.9</x:v>
      </x:c>
      <x:c r="E30" s="189" t="n">
        <x:v>1.1</x:v>
      </x:c>
      <x:c r="F30" s="189" t="n">
        <x:f>MAX(MIN('詳細設定'!$D$15+-0.05,1),0)</x:f>
        <x:v>0.35000000000000003</x:v>
      </x:c>
      <x:c r="G30" s="563" t="n">
        <x:f>'_計算月次'!$J$6</x:f>
        <x:v>472.4508339500229</x:v>
      </x:c>
      <x:c r="H30" s="563" t="n">
        <x:f>'_計算月次'!$K$6</x:f>
        <x:v>405</x:v>
      </x:c>
      <x:c r="I30" s="563" t="n">
        <x:f>(1-MAX(MIN('詳細設定'!$D$16,0.999999),0))^(B30-1)</x:f>
        <x:v>1</x:v>
      </x:c>
      <x:c r="J30" s="563" t="n">
        <x:f>MAX(G30*D30*I30,0)</x:f>
        <x:v>425.20575055502064</x:v>
      </x:c>
      <x:c r="K30" s="563" t="n">
        <x:f>MAX(MIN(J30*F30,H30),0)</x:f>
        <x:v>148.82201269425724</x:v>
      </x:c>
      <x:c r="L30" s="563" t="n">
        <x:f>MAX(J30-K30,0)</x:f>
        <x:v>276.3837378607634</x:v>
      </x:c>
      <x:c r="M30" s="185" t="n">
        <x:f>MAX('詳細設定'!$D$6,0)*(1+'詳細設定'!$D$21)^(B30-1)</x:f>
        <x:v>35.7035</x:v>
      </x:c>
      <x:c r="N30" s="185" t="n">
        <x:f>IF(B30&lt;=MAX(MIN('詳細設定'!$D$8,20),0),MAX('詳細設定'!$D$7,0),IF(B30&lt;=MAX(MIN('詳細設定'!$D$10,20),0),MAX('詳細設定'!$D$9,0),MAX('詳細設定'!$D$11,0)))</x:f>
        <x:v>24</x:v>
      </x:c>
      <x:c r="O30" s="190" t="n">
        <x:f>K30*M30</x:f>
        <x:v>5313.466730229413</x:v>
      </x:c>
      <x:c r="P30" s="190" t="n">
        <x:f>L30*N30</x:f>
        <x:v>6633.209708658322</x:v>
      </x:c>
      <x:c r="Q30" s="190" t="n">
        <x:f>O30+P30</x:f>
        <x:v>11946.676438887735</x:v>
      </x:c>
      <x:c r="R30" s="196" t="n">
        <x:f>J30-K30-L30</x:f>
        <x:v>0</x:v>
      </x:c>
    </x:row>
    <x:row r="31">
      <x:c r="A31" s="20" t="str">
        <x:v>慎重</x:v>
      </x:c>
      <x:c r="B31" s="20" t="n">
        <x:v>3</x:v>
      </x:c>
      <x:c r="C31" s="20" t="n">
        <x:v>3</x:v>
      </x:c>
      <x:c r="D31" s="189" t="n">
        <x:v>0.9</x:v>
      </x:c>
      <x:c r="E31" s="189" t="n">
        <x:v>1.1</x:v>
      </x:c>
      <x:c r="F31" s="189" t="n">
        <x:f>MAX(MIN('詳細設定'!$D$15+-0.05,1),0)</x:f>
        <x:v>0.35000000000000003</x:v>
      </x:c>
      <x:c r="G31" s="563" t="n">
        <x:f>'_計算月次'!$J$7</x:f>
        <x:v>548.3418864753118</x:v>
      </x:c>
      <x:c r="H31" s="563" t="n">
        <x:f>'_計算月次'!$K$7</x:f>
        <x:v>360</x:v>
      </x:c>
      <x:c r="I31" s="563" t="n">
        <x:f>(1-MAX(MIN('詳細設定'!$D$16,0.999999),0))^(B31-1)</x:f>
        <x:v>1</x:v>
      </x:c>
      <x:c r="J31" s="563" t="n">
        <x:f>MAX(G31*D31*I31,0)</x:f>
        <x:v>493.5076978277806</x:v>
      </x:c>
      <x:c r="K31" s="563" t="n">
        <x:f>MAX(MIN(J31*F31,H31),0)</x:f>
        <x:v>172.72769423972323</x:v>
      </x:c>
      <x:c r="L31" s="563" t="n">
        <x:f>MAX(J31-K31,0)</x:f>
        <x:v>320.78000358805735</x:v>
      </x:c>
      <x:c r="M31" s="185" t="n">
        <x:f>MAX('詳細設定'!$D$6,0)*(1+'詳細設定'!$D$21)^(B31-1)</x:f>
        <x:v>35.7035</x:v>
      </x:c>
      <x:c r="N31" s="185" t="n">
        <x:f>IF(B31&lt;=MAX(MIN('詳細設定'!$D$8,20),0),MAX('詳細設定'!$D$7,0),IF(B31&lt;=MAX(MIN('詳細設定'!$D$10,20),0),MAX('詳細設定'!$D$9,0),MAX('詳細設定'!$D$11,0)))</x:f>
        <x:v>24</x:v>
      </x:c>
      <x:c r="O31" s="190" t="n">
        <x:f>K31*M31</x:f>
        <x:v>6166.983231287958</x:v>
      </x:c>
      <x:c r="P31" s="190" t="n">
        <x:f>L31*N31</x:f>
        <x:v>7698.720086113377</x:v>
      </x:c>
      <x:c r="Q31" s="190" t="n">
        <x:f>O31+P31</x:f>
        <x:v>13865.703317401334</x:v>
      </x:c>
      <x:c r="R31" s="196" t="n">
        <x:f>J31-K31-L31</x:f>
        <x:v>0</x:v>
      </x:c>
    </x:row>
    <x:row r="32">
      <x:c r="A32" s="20" t="str">
        <x:v>慎重</x:v>
      </x:c>
      <x:c r="B32" s="20" t="n">
        <x:v>3</x:v>
      </x:c>
      <x:c r="C32" s="20" t="n">
        <x:v>4</x:v>
      </x:c>
      <x:c r="D32" s="189" t="n">
        <x:v>0.9</x:v>
      </x:c>
      <x:c r="E32" s="189" t="n">
        <x:v>1.1</x:v>
      </x:c>
      <x:c r="F32" s="189" t="n">
        <x:f>MAX(MIN('詳細設定'!$D$15+-0.05,1),0)</x:f>
        <x:v>0.35000000000000003</x:v>
      </x:c>
      <x:c r="G32" s="563" t="n">
        <x:f>'_計算月次'!$J$8</x:f>
        <x:v>548.3944393749554</x:v>
      </x:c>
      <x:c r="H32" s="563" t="n">
        <x:f>'_計算月次'!$K$8</x:f>
        <x:v>315.00000000000006</x:v>
      </x:c>
      <x:c r="I32" s="563" t="n">
        <x:f>(1-MAX(MIN('詳細設定'!$D$16,0.999999),0))^(B32-1)</x:f>
        <x:v>1</x:v>
      </x:c>
      <x:c r="J32" s="563" t="n">
        <x:f>MAX(G32*D32*I32,0)</x:f>
        <x:v>493.55499543745987</x:v>
      </x:c>
      <x:c r="K32" s="563" t="n">
        <x:f>MAX(MIN(J32*F32,H32),0)</x:f>
        <x:v>172.74424840311096</x:v>
      </x:c>
      <x:c r="L32" s="563" t="n">
        <x:f>MAX(J32-K32,0)</x:f>
        <x:v>320.8107470343489</x:v>
      </x:c>
      <x:c r="M32" s="185" t="n">
        <x:f>MAX('詳細設定'!$D$6,0)*(1+'詳細設定'!$D$21)^(B32-1)</x:f>
        <x:v>35.7035</x:v>
      </x:c>
      <x:c r="N32" s="185" t="n">
        <x:f>IF(B32&lt;=MAX(MIN('詳細設定'!$D$8,20),0),MAX('詳細設定'!$D$7,0),IF(B32&lt;=MAX(MIN('詳細設定'!$D$10,20),0),MAX('詳細設定'!$D$9,0),MAX('詳細設定'!$D$11,0)))</x:f>
        <x:v>24</x:v>
      </x:c>
      <x:c r="O32" s="190" t="n">
        <x:f>K32*M32</x:f>
        <x:v>6167.574272860472</x:v>
      </x:c>
      <x:c r="P32" s="190" t="n">
        <x:f>L32*N32</x:f>
        <x:v>7699.457928824373</x:v>
      </x:c>
      <x:c r="Q32" s="190" t="n">
        <x:f>O32+P32</x:f>
        <x:v>13867.032201684844</x:v>
      </x:c>
      <x:c r="R32" s="196" t="n">
        <x:f>J32-K32-L32</x:f>
        <x:v>0</x:v>
      </x:c>
    </x:row>
    <x:row r="33">
      <x:c r="A33" s="20" t="str">
        <x:v>慎重</x:v>
      </x:c>
      <x:c r="B33" s="20" t="n">
        <x:v>3</x:v>
      </x:c>
      <x:c r="C33" s="20" t="n">
        <x:v>5</x:v>
      </x:c>
      <x:c r="D33" s="189" t="n">
        <x:v>0.9</x:v>
      </x:c>
      <x:c r="E33" s="189" t="n">
        <x:v>1.1</x:v>
      </x:c>
      <x:c r="F33" s="189" t="n">
        <x:f>MAX(MIN('詳細設定'!$D$15+-0.05,1),0)</x:f>
        <x:v>0.35000000000000003</x:v>
      </x:c>
      <x:c r="G33" s="563" t="n">
        <x:f>'_計算月次'!$J$9</x:f>
        <x:v>552.2367574934775</x:v>
      </x:c>
      <x:c r="H33" s="563" t="n">
        <x:f>'_計算月次'!$K$9</x:f>
        <x:v>315.00000000000006</x:v>
      </x:c>
      <x:c r="I33" s="563" t="n">
        <x:f>(1-MAX(MIN('詳細設定'!$D$16,0.999999),0))^(B33-1)</x:f>
        <x:v>1</x:v>
      </x:c>
      <x:c r="J33" s="563" t="n">
        <x:f>MAX(G33*D33*I33,0)</x:f>
        <x:v>497.01308174412975</x:v>
      </x:c>
      <x:c r="K33" s="563" t="n">
        <x:f>MAX(MIN(J33*F33,H33),0)</x:f>
        <x:v>173.95457861044542</x:v>
      </x:c>
      <x:c r="L33" s="563" t="n">
        <x:f>MAX(J33-K33,0)</x:f>
        <x:v>323.0585031336843</x:v>
      </x:c>
      <x:c r="M33" s="185" t="n">
        <x:f>MAX('詳細設定'!$D$6,0)*(1+'詳細設定'!$D$21)^(B33-1)</x:f>
        <x:v>35.7035</x:v>
      </x:c>
      <x:c r="N33" s="185" t="n">
        <x:f>IF(B33&lt;=MAX(MIN('詳細設定'!$D$8,20),0),MAX('詳細設定'!$D$7,0),IF(B33&lt;=MAX(MIN('詳細設定'!$D$10,20),0),MAX('詳細設定'!$D$9,0),MAX('詳細設定'!$D$11,0)))</x:f>
        <x:v>24</x:v>
      </x:c>
      <x:c r="O33" s="190" t="n">
        <x:f>K33*M33</x:f>
        <x:v>6210.787297418038</x:v>
      </x:c>
      <x:c r="P33" s="190" t="n">
        <x:f>L33*N33</x:f>
        <x:v>7753.404075208424</x:v>
      </x:c>
      <x:c r="Q33" s="190" t="n">
        <x:f>O33+P33</x:f>
        <x:v>13964.191372626461</x:v>
      </x:c>
      <x:c r="R33" s="196" t="n">
        <x:f>J33-K33-L33</x:f>
        <x:v>0</x:v>
      </x:c>
    </x:row>
    <x:row r="34">
      <x:c r="A34" s="20" t="str">
        <x:v>慎重</x:v>
      </x:c>
      <x:c r="B34" s="20" t="n">
        <x:v>3</x:v>
      </x:c>
      <x:c r="C34" s="20" t="n">
        <x:v>6</x:v>
      </x:c>
      <x:c r="D34" s="189" t="n">
        <x:v>0.9</x:v>
      </x:c>
      <x:c r="E34" s="189" t="n">
        <x:v>1.1</x:v>
      </x:c>
      <x:c r="F34" s="189" t="n">
        <x:f>MAX(MIN('詳細設定'!$D$15+-0.05,1),0)</x:f>
        <x:v>0.35000000000000003</x:v>
      </x:c>
      <x:c r="G34" s="563" t="n">
        <x:f>'_計算月次'!$J$10</x:f>
        <x:v>448.7994857612148</x:v>
      </x:c>
      <x:c r="H34" s="563" t="n">
        <x:f>'_計算月次'!$K$10</x:f>
        <x:v>360</x:v>
      </x:c>
      <x:c r="I34" s="563" t="n">
        <x:f>(1-MAX(MIN('詳細設定'!$D$16,0.999999),0))^(B34-1)</x:f>
        <x:v>1</x:v>
      </x:c>
      <x:c r="J34" s="563" t="n">
        <x:f>MAX(G34*D34*I34,0)</x:f>
        <x:v>403.9195371850933</x:v>
      </x:c>
      <x:c r="K34" s="563" t="n">
        <x:f>MAX(MIN(J34*F34,H34),0)</x:f>
        <x:v>141.37183801478267</x:v>
      </x:c>
      <x:c r="L34" s="563" t="n">
        <x:f>MAX(J34-K34,0)</x:f>
        <x:v>262.54769917031064</x:v>
      </x:c>
      <x:c r="M34" s="185" t="n">
        <x:f>MAX('詳細設定'!$D$6,0)*(1+'詳細設定'!$D$21)^(B34-1)</x:f>
        <x:v>35.7035</x:v>
      </x:c>
      <x:c r="N34" s="185" t="n">
        <x:f>IF(B34&lt;=MAX(MIN('詳細設定'!$D$8,20),0),MAX('詳細設定'!$D$7,0),IF(B34&lt;=MAX(MIN('詳細設定'!$D$10,20),0),MAX('詳細設定'!$D$9,0),MAX('詳細設定'!$D$11,0)))</x:f>
        <x:v>24</x:v>
      </x:c>
      <x:c r="O34" s="190" t="n">
        <x:f>K34*M34</x:f>
        <x:v>5047.469418560792</x:v>
      </x:c>
      <x:c r="P34" s="190" t="n">
        <x:f>L34*N34</x:f>
        <x:v>6301.144780087456</x:v>
      </x:c>
      <x:c r="Q34" s="190" t="n">
        <x:f>O34+P34</x:f>
        <x:v>11348.614198648247</x:v>
      </x:c>
      <x:c r="R34" s="196" t="n">
        <x:f>J34-K34-L34</x:f>
        <x:v>0</x:v>
      </x:c>
    </x:row>
    <x:row r="35">
      <x:c r="A35" s="20" t="str">
        <x:v>慎重</x:v>
      </x:c>
      <x:c r="B35" s="20" t="n">
        <x:v>3</x:v>
      </x:c>
      <x:c r="C35" s="20" t="n">
        <x:v>7</x:v>
      </x:c>
      <x:c r="D35" s="189" t="n">
        <x:v>0.9</x:v>
      </x:c>
      <x:c r="E35" s="189" t="n">
        <x:v>1.1</x:v>
      </x:c>
      <x:c r="F35" s="189" t="n">
        <x:f>MAX(MIN('詳細設定'!$D$15+-0.05,1),0)</x:f>
        <x:v>0.35000000000000003</x:v>
      </x:c>
      <x:c r="G35" s="563" t="n">
        <x:f>'_計算月次'!$J$11</x:f>
        <x:v>476.0181638067866</x:v>
      </x:c>
      <x:c r="H35" s="563" t="n">
        <x:f>'_計算月次'!$K$11</x:f>
        <x:v>405</x:v>
      </x:c>
      <x:c r="I35" s="563" t="n">
        <x:f>(1-MAX(MIN('詳細設定'!$D$16,0.999999),0))^(B35-1)</x:f>
        <x:v>1</x:v>
      </x:c>
      <x:c r="J35" s="563" t="n">
        <x:f>MAX(G35*D35*I35,0)</x:f>
        <x:v>428.41634742610796</x:v>
      </x:c>
      <x:c r="K35" s="563" t="n">
        <x:f>MAX(MIN(J35*F35,H35),0)</x:f>
        <x:v>149.9457215991378</x:v>
      </x:c>
      <x:c r="L35" s="563" t="n">
        <x:f>MAX(J35-K35,0)</x:f>
        <x:v>278.47062582697015</x:v>
      </x:c>
      <x:c r="M35" s="185" t="n">
        <x:f>MAX('詳細設定'!$D$6,0)*(1+'詳細設定'!$D$21)^(B35-1)</x:f>
        <x:v>35.7035</x:v>
      </x:c>
      <x:c r="N35" s="185" t="n">
        <x:f>IF(B35&lt;=MAX(MIN('詳細設定'!$D$8,20),0),MAX('詳細設定'!$D$7,0),IF(B35&lt;=MAX(MIN('詳細設定'!$D$10,20),0),MAX('詳細設定'!$D$9,0),MAX('詳細設定'!$D$11,0)))</x:f>
        <x:v>24</x:v>
      </x:c>
      <x:c r="O35" s="190" t="n">
        <x:f>K35*M35</x:f>
        <x:v>5353.587071114816</x:v>
      </x:c>
      <x:c r="P35" s="190" t="n">
        <x:f>L35*N35</x:f>
        <x:v>6683.295019847284</x:v>
      </x:c>
      <x:c r="Q35" s="190" t="n">
        <x:f>O35+P35</x:f>
        <x:v>12036.882090962099</x:v>
      </x:c>
      <x:c r="R35" s="196" t="n">
        <x:f>J35-K35-L35</x:f>
        <x:v>0</x:v>
      </x:c>
    </x:row>
    <x:row r="36">
      <x:c r="A36" s="20" t="str">
        <x:v>慎重</x:v>
      </x:c>
      <x:c r="B36" s="20" t="n">
        <x:v>3</x:v>
      </x:c>
      <x:c r="C36" s="20" t="n">
        <x:v>8</x:v>
      </x:c>
      <x:c r="D36" s="189" t="n">
        <x:v>0.9</x:v>
      </x:c>
      <x:c r="E36" s="189" t="n">
        <x:v>1.1</x:v>
      </x:c>
      <x:c r="F36" s="189" t="n">
        <x:f>MAX(MIN('詳細設定'!$D$15+-0.05,1),0)</x:f>
        <x:v>0.35000000000000003</x:v>
      </x:c>
      <x:c r="G36" s="563" t="n">
        <x:f>'_計算月次'!$J$12</x:f>
        <x:v>528.6548067323699</x:v>
      </x:c>
      <x:c r="H36" s="563" t="n">
        <x:f>'_計算月次'!$K$12</x:f>
        <x:v>450</x:v>
      </x:c>
      <x:c r="I36" s="563" t="n">
        <x:f>(1-MAX(MIN('詳細設定'!$D$16,0.999999),0))^(B36-1)</x:f>
        <x:v>1</x:v>
      </x:c>
      <x:c r="J36" s="563" t="n">
        <x:f>MAX(G36*D36*I36,0)</x:f>
        <x:v>475.789326059133</x:v>
      </x:c>
      <x:c r="K36" s="563" t="n">
        <x:f>MAX(MIN(J36*F36,H36),0)</x:f>
        <x:v>166.52626412069657</x:v>
      </x:c>
      <x:c r="L36" s="563" t="n">
        <x:f>MAX(J36-K36,0)</x:f>
        <x:v>309.2630619384364</x:v>
      </x:c>
      <x:c r="M36" s="185" t="n">
        <x:f>MAX('詳細設定'!$D$6,0)*(1+'詳細設定'!$D$21)^(B36-1)</x:f>
        <x:v>35.7035</x:v>
      </x:c>
      <x:c r="N36" s="185" t="n">
        <x:f>IF(B36&lt;=MAX(MIN('詳細設定'!$D$8,20),0),MAX('詳細設定'!$D$7,0),IF(B36&lt;=MAX(MIN('詳細設定'!$D$10,20),0),MAX('詳細設定'!$D$9,0),MAX('詳細設定'!$D$11,0)))</x:f>
        <x:v>24</x:v>
      </x:c>
      <x:c r="O36" s="190" t="n">
        <x:f>K36*M36</x:f>
        <x:v>5945.570471033289</x:v>
      </x:c>
      <x:c r="P36" s="190" t="n">
        <x:f>L36*N36</x:f>
        <x:v>7422.313486522474</x:v>
      </x:c>
      <x:c r="Q36" s="190" t="n">
        <x:f>O36+P36</x:f>
        <x:v>13367.883957555763</x:v>
      </x:c>
      <x:c r="R36" s="196" t="n">
        <x:f>J36-K36-L36</x:f>
        <x:v>0</x:v>
      </x:c>
    </x:row>
    <x:row r="37">
      <x:c r="A37" s="20" t="str">
        <x:v>慎重</x:v>
      </x:c>
      <x:c r="B37" s="20" t="n">
        <x:v>3</x:v>
      </x:c>
      <x:c r="C37" s="20" t="n">
        <x:v>9</x:v>
      </x:c>
      <x:c r="D37" s="189" t="n">
        <x:v>0.9</x:v>
      </x:c>
      <x:c r="E37" s="189" t="n">
        <x:v>1.1</x:v>
      </x:c>
      <x:c r="F37" s="189" t="n">
        <x:f>MAX(MIN('詳細設定'!$D$15+-0.05,1),0)</x:f>
        <x:v>0.35000000000000003</x:v>
      </x:c>
      <x:c r="G37" s="563" t="n">
        <x:f>'_計算月次'!$J$13</x:f>
        <x:v>436.37734765103465</x:v>
      </x:c>
      <x:c r="H37" s="563" t="n">
        <x:f>'_計算月次'!$K$13</x:f>
        <x:v>360</x:v>
      </x:c>
      <x:c r="I37" s="563" t="n">
        <x:f>(1-MAX(MIN('詳細設定'!$D$16,0.999999),0))^(B37-1)</x:f>
        <x:v>1</x:v>
      </x:c>
      <x:c r="J37" s="563" t="n">
        <x:f>MAX(G37*D37*I37,0)</x:f>
        <x:v>392.7396128859312</x:v>
      </x:c>
      <x:c r="K37" s="563" t="n">
        <x:f>MAX(MIN(J37*F37,H37),0)</x:f>
        <x:v>137.45886451007593</x:v>
      </x:c>
      <x:c r="L37" s="563" t="n">
        <x:f>MAX(J37-K37,0)</x:f>
        <x:v>255.28074837585527</x:v>
      </x:c>
      <x:c r="M37" s="185" t="n">
        <x:f>MAX('詳細設定'!$D$6,0)*(1+'詳細設定'!$D$21)^(B37-1)</x:f>
        <x:v>35.7035</x:v>
      </x:c>
      <x:c r="N37" s="185" t="n">
        <x:f>IF(B37&lt;=MAX(MIN('詳細設定'!$D$8,20),0),MAX('詳細設定'!$D$7,0),IF(B37&lt;=MAX(MIN('詳細設定'!$D$10,20),0),MAX('詳細設定'!$D$9,0),MAX('詳細設定'!$D$11,0)))</x:f>
        <x:v>24</x:v>
      </x:c>
      <x:c r="O37" s="190" t="n">
        <x:f>K37*M37</x:f>
        <x:v>4907.762569035495</x:v>
      </x:c>
      <x:c r="P37" s="190" t="n">
        <x:f>L37*N37</x:f>
        <x:v>6126.737961020526</x:v>
      </x:c>
      <x:c r="Q37" s="190" t="n">
        <x:f>O37+P37</x:f>
        <x:v>11034.500530056022</x:v>
      </x:c>
      <x:c r="R37" s="196" t="n">
        <x:f>J37-K37-L37</x:f>
        <x:v>0</x:v>
      </x:c>
    </x:row>
    <x:row r="38">
      <x:c r="A38" s="20" t="str">
        <x:v>慎重</x:v>
      </x:c>
      <x:c r="B38" s="20" t="n">
        <x:v>3</x:v>
      </x:c>
      <x:c r="C38" s="20" t="n">
        <x:v>10</x:v>
      </x:c>
      <x:c r="D38" s="189" t="n">
        <x:v>0.9</x:v>
      </x:c>
      <x:c r="E38" s="189" t="n">
        <x:v>1.1</x:v>
      </x:c>
      <x:c r="F38" s="189" t="n">
        <x:f>MAX(MIN('詳細設定'!$D$15+-0.05,1),0)</x:f>
        <x:v>0.35000000000000003</x:v>
      </x:c>
      <x:c r="G38" s="563" t="n">
        <x:f>'_計算月次'!$J$14</x:f>
        <x:v>408.8269849869007</x:v>
      </x:c>
      <x:c r="H38" s="563" t="n">
        <x:f>'_計算月次'!$K$14</x:f>
        <x:v>315.00000000000006</x:v>
      </x:c>
      <x:c r="I38" s="563" t="n">
        <x:f>(1-MAX(MIN('詳細設定'!$D$16,0.999999),0))^(B38-1)</x:f>
        <x:v>1</x:v>
      </x:c>
      <x:c r="J38" s="563" t="n">
        <x:f>MAX(G38*D38*I38,0)</x:f>
        <x:v>367.94428648821065</x:v>
      </x:c>
      <x:c r="K38" s="563" t="n">
        <x:f>MAX(MIN(J38*F38,H38),0)</x:f>
        <x:v>128.78050027087374</x:v>
      </x:c>
      <x:c r="L38" s="563" t="n">
        <x:f>MAX(J38-K38,0)</x:f>
        <x:v>239.1637862173369</x:v>
      </x:c>
      <x:c r="M38" s="185" t="n">
        <x:f>MAX('詳細設定'!$D$6,0)*(1+'詳細設定'!$D$21)^(B38-1)</x:f>
        <x:v>35.7035</x:v>
      </x:c>
      <x:c r="N38" s="185" t="n">
        <x:f>IF(B38&lt;=MAX(MIN('詳細設定'!$D$8,20),0),MAX('詳細設定'!$D$7,0),IF(B38&lt;=MAX(MIN('詳細設定'!$D$10,20),0),MAX('詳細設定'!$D$9,0),MAX('詳細設定'!$D$11,0)))</x:f>
        <x:v>24</x:v>
      </x:c>
      <x:c r="O38" s="190" t="n">
        <x:f>K38*M38</x:f>
        <x:v>4597.91459142114</x:v>
      </x:c>
      <x:c r="P38" s="190" t="n">
        <x:f>L38*N38</x:f>
        <x:v>5739.930869216086</x:v>
      </x:c>
      <x:c r="Q38" s="190" t="n">
        <x:f>O38+P38</x:f>
        <x:v>10337.845460637225</x:v>
      </x:c>
      <x:c r="R38" s="196" t="n">
        <x:f>J38-K38-L38</x:f>
        <x:v>0</x:v>
      </x:c>
    </x:row>
    <x:row r="39">
      <x:c r="A39" s="20" t="str">
        <x:v>慎重</x:v>
      </x:c>
      <x:c r="B39" s="20" t="n">
        <x:v>3</x:v>
      </x:c>
      <x:c r="C39" s="20" t="n">
        <x:v>11</x:v>
      </x:c>
      <x:c r="D39" s="189" t="n">
        <x:v>0.9</x:v>
      </x:c>
      <x:c r="E39" s="189" t="n">
        <x:v>1.1</x:v>
      </x:c>
      <x:c r="F39" s="189" t="n">
        <x:f>MAX(MIN('詳細設定'!$D$15+-0.05,1),0)</x:f>
        <x:v>0.35000000000000003</x:v>
      </x:c>
      <x:c r="G39" s="563" t="n">
        <x:f>'_計算月次'!$J$15</x:f>
        <x:v>398.45169764745054</x:v>
      </x:c>
      <x:c r="H39" s="563" t="n">
        <x:f>'_計算月次'!$K$15</x:f>
        <x:v>360</x:v>
      </x:c>
      <x:c r="I39" s="563" t="n">
        <x:f>(1-MAX(MIN('詳細設定'!$D$16,0.999999),0))^(B39-1)</x:f>
        <x:v>1</x:v>
      </x:c>
      <x:c r="J39" s="563" t="n">
        <x:f>MAX(G39*D39*I39,0)</x:f>
        <x:v>358.6065278827055</x:v>
      </x:c>
      <x:c r="K39" s="563" t="n">
        <x:f>MAX(MIN(J39*F39,H39),0)</x:f>
        <x:v>125.51228475894693</x:v>
      </x:c>
      <x:c r="L39" s="563" t="n">
        <x:f>MAX(J39-K39,0)</x:f>
        <x:v>233.0942431237586</x:v>
      </x:c>
      <x:c r="M39" s="185" t="n">
        <x:f>MAX('詳細設定'!$D$6,0)*(1+'詳細設定'!$D$21)^(B39-1)</x:f>
        <x:v>35.7035</x:v>
      </x:c>
      <x:c r="N39" s="185" t="n">
        <x:f>IF(B39&lt;=MAX(MIN('詳細設定'!$D$8,20),0),MAX('詳細設定'!$D$7,0),IF(B39&lt;=MAX(MIN('詳細設定'!$D$10,20),0),MAX('詳細設定'!$D$9,0),MAX('詳細設定'!$D$11,0)))</x:f>
        <x:v>24</x:v>
      </x:c>
      <x:c r="O39" s="190" t="n">
        <x:f>K39*M39</x:f>
        <x:v>4481.227858891061</x:v>
      </x:c>
      <x:c r="P39" s="190" t="n">
        <x:f>L39*N39</x:f>
        <x:v>5594.261834970206</x:v>
      </x:c>
      <x:c r="Q39" s="190" t="n">
        <x:f>O39+P39</x:f>
        <x:v>10075.489693861267</x:v>
      </x:c>
      <x:c r="R39" s="196" t="n">
        <x:f>J39-K39-L39</x:f>
        <x:v>0</x:v>
      </x:c>
    </x:row>
    <x:row r="40">
      <x:c r="A40" s="20" t="str">
        <x:v>慎重</x:v>
      </x:c>
      <x:c r="B40" s="20" t="n">
        <x:v>3</x:v>
      </x:c>
      <x:c r="C40" s="20" t="n">
        <x:v>12</x:v>
      </x:c>
      <x:c r="D40" s="189" t="n">
        <x:v>0.9</x:v>
      </x:c>
      <x:c r="E40" s="189" t="n">
        <x:v>1.1</x:v>
      </x:c>
      <x:c r="F40" s="189" t="n">
        <x:f>MAX(MIN('詳細設定'!$D$15+-0.05,1),0)</x:f>
        <x:v>0.35000000000000003</x:v>
      </x:c>
      <x:c r="G40" s="563" t="n">
        <x:f>'_計算月次'!$J$16</x:f>
        <x:v>443.97248688000184</x:v>
      </x:c>
      <x:c r="H40" s="563" t="n">
        <x:f>'_計算月次'!$K$16</x:f>
        <x:v>405</x:v>
      </x:c>
      <x:c r="I40" s="563" t="n">
        <x:f>(1-MAX(MIN('詳細設定'!$D$16,0.999999),0))^(B40-1)</x:f>
        <x:v>1</x:v>
      </x:c>
      <x:c r="J40" s="563" t="n">
        <x:f>MAX(G40*D40*I40,0)</x:f>
        <x:v>399.5752381920017</x:v>
      </x:c>
      <x:c r="K40" s="563" t="n">
        <x:f>MAX(MIN(J40*F40,H40),0)</x:f>
        <x:v>139.8513333672006</x:v>
      </x:c>
      <x:c r="L40" s="563" t="n">
        <x:f>MAX(J40-K40,0)</x:f>
        <x:v>259.7239048248011</x:v>
      </x:c>
      <x:c r="M40" s="185" t="n">
        <x:f>MAX('詳細設定'!$D$6,0)*(1+'詳細設定'!$D$21)^(B40-1)</x:f>
        <x:v>35.7035</x:v>
      </x:c>
      <x:c r="N40" s="185" t="n">
        <x:f>IF(B40&lt;=MAX(MIN('詳細設定'!$D$8,20),0),MAX('詳細設定'!$D$7,0),IF(B40&lt;=MAX(MIN('詳細設定'!$D$10,20),0),MAX('詳細設定'!$D$9,0),MAX('詳細設定'!$D$11,0)))</x:f>
        <x:v>24</x:v>
      </x:c>
      <x:c r="O40" s="190" t="n">
        <x:f>K40*M40</x:f>
        <x:v>4993.182080875847</x:v>
      </x:c>
      <x:c r="P40" s="190" t="n">
        <x:f>L40*N40</x:f>
        <x:v>6233.3737157952255</x:v>
      </x:c>
      <x:c r="Q40" s="190" t="n">
        <x:f>O40+P40</x:f>
        <x:v>11226.555796671073</x:v>
      </x:c>
      <x:c r="R40" s="196" t="n">
        <x:f>J40-K40-L40</x:f>
        <x:v>0</x:v>
      </x:c>
    </x:row>
    <x:row r="41">
      <x:c r="A41" s="20" t="str">
        <x:v>慎重</x:v>
      </x:c>
      <x:c r="B41" s="20" t="n">
        <x:v>4</x:v>
      </x:c>
      <x:c r="C41" s="20" t="n">
        <x:v>1</x:v>
      </x:c>
      <x:c r="D41" s="189" t="n">
        <x:v>0.9</x:v>
      </x:c>
      <x:c r="E41" s="189" t="n">
        <x:v>1.1</x:v>
      </x:c>
      <x:c r="F41" s="189" t="n">
        <x:f>MAX(MIN('詳細設定'!$D$15+-0.05,1),0)</x:f>
        <x:v>0.35000000000000003</x:v>
      </x:c>
      <x:c r="G41" s="563" t="n">
        <x:f>'_計算月次'!$J$5</x:f>
        <x:v>502.4147595742038</x:v>
      </x:c>
      <x:c r="H41" s="563" t="n">
        <x:f>'_計算月次'!$K$5</x:f>
        <x:v>450</x:v>
      </x:c>
      <x:c r="I41" s="563" t="n">
        <x:f>(1-MAX(MIN('詳細設定'!$D$16,0.999999),0))^(B41-1)</x:f>
        <x:v>1</x:v>
      </x:c>
      <x:c r="J41" s="563" t="n">
        <x:f>MAX(G41*D41*I41,0)</x:f>
        <x:v>452.1732836167834</x:v>
      </x:c>
      <x:c r="K41" s="563" t="n">
        <x:f>MAX(MIN(J41*F41,H41),0)</x:f>
        <x:v>158.2606492658742</x:v>
      </x:c>
      <x:c r="L41" s="563" t="n">
        <x:f>MAX(J41-K41,0)</x:f>
        <x:v>293.91263435090923</x:v>
      </x:c>
      <x:c r="M41" s="185" t="n">
        <x:f>MAX('詳細設定'!$D$6,0)*(1+'詳細設定'!$D$21)^(B41-1)</x:f>
        <x:v>36.060535</x:v>
      </x:c>
      <x:c r="N41" s="185" t="n">
        <x:f>IF(B41&lt;=MAX(MIN('詳細設定'!$D$8,20),0),MAX('詳細設定'!$D$7,0),IF(B41&lt;=MAX(MIN('詳細設定'!$D$10,20),0),MAX('詳細設定'!$D$9,0),MAX('詳細設定'!$D$11,0)))</x:f>
        <x:v>24</x:v>
      </x:c>
      <x:c r="O41" s="190" t="n">
        <x:f>K41*M41</x:f>
        <x:v>5706.963681974781</x:v>
      </x:c>
      <x:c r="P41" s="190" t="n">
        <x:f>L41*N41</x:f>
        <x:v>7053.9032244218215</x:v>
      </x:c>
      <x:c r="Q41" s="190" t="n">
        <x:f>O41+P41</x:f>
        <x:v>12760.866906396603</x:v>
      </x:c>
      <x:c r="R41" s="196" t="n">
        <x:f>J41-K41-L41</x:f>
        <x:v>0</x:v>
      </x:c>
    </x:row>
    <x:row r="42">
      <x:c r="A42" s="20" t="str">
        <x:v>慎重</x:v>
      </x:c>
      <x:c r="B42" s="20" t="n">
        <x:v>4</x:v>
      </x:c>
      <x:c r="C42" s="20" t="n">
        <x:v>2</x:v>
      </x:c>
      <x:c r="D42" s="189" t="n">
        <x:v>0.9</x:v>
      </x:c>
      <x:c r="E42" s="189" t="n">
        <x:v>1.1</x:v>
      </x:c>
      <x:c r="F42" s="189" t="n">
        <x:f>MAX(MIN('詳細設定'!$D$15+-0.05,1),0)</x:f>
        <x:v>0.35000000000000003</x:v>
      </x:c>
      <x:c r="G42" s="563" t="n">
        <x:f>'_計算月次'!$J$6</x:f>
        <x:v>472.4508339500229</x:v>
      </x:c>
      <x:c r="H42" s="563" t="n">
        <x:f>'_計算月次'!$K$6</x:f>
        <x:v>405</x:v>
      </x:c>
      <x:c r="I42" s="563" t="n">
        <x:f>(1-MAX(MIN('詳細設定'!$D$16,0.999999),0))^(B42-1)</x:f>
        <x:v>1</x:v>
      </x:c>
      <x:c r="J42" s="563" t="n">
        <x:f>MAX(G42*D42*I42,0)</x:f>
        <x:v>425.20575055502064</x:v>
      </x:c>
      <x:c r="K42" s="563" t="n">
        <x:f>MAX(MIN(J42*F42,H42),0)</x:f>
        <x:v>148.82201269425724</x:v>
      </x:c>
      <x:c r="L42" s="563" t="n">
        <x:f>MAX(J42-K42,0)</x:f>
        <x:v>276.3837378607634</x:v>
      </x:c>
      <x:c r="M42" s="185" t="n">
        <x:f>MAX('詳細設定'!$D$6,0)*(1+'詳細設定'!$D$21)^(B42-1)</x:f>
        <x:v>36.060535</x:v>
      </x:c>
      <x:c r="N42" s="185" t="n">
        <x:f>IF(B42&lt;=MAX(MIN('詳細設定'!$D$8,20),0),MAX('詳細設定'!$D$7,0),IF(B42&lt;=MAX(MIN('詳細設定'!$D$10,20),0),MAX('詳細設定'!$D$9,0),MAX('詳細設定'!$D$11,0)))</x:f>
        <x:v>24</x:v>
      </x:c>
      <x:c r="O42" s="190" t="n">
        <x:f>K42*M42</x:f>
        <x:v>5366.601397531707</x:v>
      </x:c>
      <x:c r="P42" s="190" t="n">
        <x:f>L42*N42</x:f>
        <x:v>6633.209708658322</x:v>
      </x:c>
      <x:c r="Q42" s="190" t="n">
        <x:f>O42+P42</x:f>
        <x:v>11999.811106190029</x:v>
      </x:c>
      <x:c r="R42" s="196" t="n">
        <x:f>J42-K42-L42</x:f>
        <x:v>0</x:v>
      </x:c>
    </x:row>
    <x:row r="43">
      <x:c r="A43" s="20" t="str">
        <x:v>慎重</x:v>
      </x:c>
      <x:c r="B43" s="20" t="n">
        <x:v>4</x:v>
      </x:c>
      <x:c r="C43" s="20" t="n">
        <x:v>3</x:v>
      </x:c>
      <x:c r="D43" s="189" t="n">
        <x:v>0.9</x:v>
      </x:c>
      <x:c r="E43" s="189" t="n">
        <x:v>1.1</x:v>
      </x:c>
      <x:c r="F43" s="189" t="n">
        <x:f>MAX(MIN('詳細設定'!$D$15+-0.05,1),0)</x:f>
        <x:v>0.35000000000000003</x:v>
      </x:c>
      <x:c r="G43" s="563" t="n">
        <x:f>'_計算月次'!$J$7</x:f>
        <x:v>548.3418864753118</x:v>
      </x:c>
      <x:c r="H43" s="563" t="n">
        <x:f>'_計算月次'!$K$7</x:f>
        <x:v>360</x:v>
      </x:c>
      <x:c r="I43" s="563" t="n">
        <x:f>(1-MAX(MIN('詳細設定'!$D$16,0.999999),0))^(B43-1)</x:f>
        <x:v>1</x:v>
      </x:c>
      <x:c r="J43" s="563" t="n">
        <x:f>MAX(G43*D43*I43,0)</x:f>
        <x:v>493.5076978277806</x:v>
      </x:c>
      <x:c r="K43" s="563" t="n">
        <x:f>MAX(MIN(J43*F43,H43),0)</x:f>
        <x:v>172.72769423972323</x:v>
      </x:c>
      <x:c r="L43" s="563" t="n">
        <x:f>MAX(J43-K43,0)</x:f>
        <x:v>320.78000358805735</x:v>
      </x:c>
      <x:c r="M43" s="185" t="n">
        <x:f>MAX('詳細設定'!$D$6,0)*(1+'詳細設定'!$D$21)^(B43-1)</x:f>
        <x:v>36.060535</x:v>
      </x:c>
      <x:c r="N43" s="185" t="n">
        <x:f>IF(B43&lt;=MAX(MIN('詳細設定'!$D$8,20),0),MAX('詳細設定'!$D$7,0),IF(B43&lt;=MAX(MIN('詳細設定'!$D$10,20),0),MAX('詳細設定'!$D$9,0),MAX('詳細設定'!$D$11,0)))</x:f>
        <x:v>24</x:v>
      </x:c>
      <x:c r="O43" s="190" t="n">
        <x:f>K43*M43</x:f>
        <x:v>6228.653063600838</x:v>
      </x:c>
      <x:c r="P43" s="190" t="n">
        <x:f>L43*N43</x:f>
        <x:v>7698.720086113377</x:v>
      </x:c>
      <x:c r="Q43" s="190" t="n">
        <x:f>O43+P43</x:f>
        <x:v>13927.373149714214</x:v>
      </x:c>
      <x:c r="R43" s="196" t="n">
        <x:f>J43-K43-L43</x:f>
        <x:v>0</x:v>
      </x:c>
    </x:row>
    <x:row r="44">
      <x:c r="A44" s="20" t="str">
        <x:v>慎重</x:v>
      </x:c>
      <x:c r="B44" s="20" t="n">
        <x:v>4</x:v>
      </x:c>
      <x:c r="C44" s="20" t="n">
        <x:v>4</x:v>
      </x:c>
      <x:c r="D44" s="189" t="n">
        <x:v>0.9</x:v>
      </x:c>
      <x:c r="E44" s="189" t="n">
        <x:v>1.1</x:v>
      </x:c>
      <x:c r="F44" s="189" t="n">
        <x:f>MAX(MIN('詳細設定'!$D$15+-0.05,1),0)</x:f>
        <x:v>0.35000000000000003</x:v>
      </x:c>
      <x:c r="G44" s="563" t="n">
        <x:f>'_計算月次'!$J$8</x:f>
        <x:v>548.3944393749554</x:v>
      </x:c>
      <x:c r="H44" s="563" t="n">
        <x:f>'_計算月次'!$K$8</x:f>
        <x:v>315.00000000000006</x:v>
      </x:c>
      <x:c r="I44" s="563" t="n">
        <x:f>(1-MAX(MIN('詳細設定'!$D$16,0.999999),0))^(B44-1)</x:f>
        <x:v>1</x:v>
      </x:c>
      <x:c r="J44" s="563" t="n">
        <x:f>MAX(G44*D44*I44,0)</x:f>
        <x:v>493.55499543745987</x:v>
      </x:c>
      <x:c r="K44" s="563" t="n">
        <x:f>MAX(MIN(J44*F44,H44),0)</x:f>
        <x:v>172.74424840311096</x:v>
      </x:c>
      <x:c r="L44" s="563" t="n">
        <x:f>MAX(J44-K44,0)</x:f>
        <x:v>320.8107470343489</x:v>
      </x:c>
      <x:c r="M44" s="185" t="n">
        <x:f>MAX('詳細設定'!$D$6,0)*(1+'詳細設定'!$D$21)^(B44-1)</x:f>
        <x:v>36.060535</x:v>
      </x:c>
      <x:c r="N44" s="185" t="n">
        <x:f>IF(B44&lt;=MAX(MIN('詳細設定'!$D$8,20),0),MAX('詳細設定'!$D$7,0),IF(B44&lt;=MAX(MIN('詳細設定'!$D$10,20),0),MAX('詳細設定'!$D$9,0),MAX('詳細設定'!$D$11,0)))</x:f>
        <x:v>24</x:v>
      </x:c>
      <x:c r="O44" s="190" t="n">
        <x:f>K44*M44</x:f>
        <x:v>6229.2500155890775</x:v>
      </x:c>
      <x:c r="P44" s="190" t="n">
        <x:f>L44*N44</x:f>
        <x:v>7699.457928824373</x:v>
      </x:c>
      <x:c r="Q44" s="190" t="n">
        <x:f>O44+P44</x:f>
        <x:v>13928.70794441345</x:v>
      </x:c>
      <x:c r="R44" s="196" t="n">
        <x:f>J44-K44-L44</x:f>
        <x:v>0</x:v>
      </x:c>
    </x:row>
    <x:row r="45">
      <x:c r="A45" s="20" t="str">
        <x:v>慎重</x:v>
      </x:c>
      <x:c r="B45" s="20" t="n">
        <x:v>4</x:v>
      </x:c>
      <x:c r="C45" s="20" t="n">
        <x:v>5</x:v>
      </x:c>
      <x:c r="D45" s="189" t="n">
        <x:v>0.9</x:v>
      </x:c>
      <x:c r="E45" s="189" t="n">
        <x:v>1.1</x:v>
      </x:c>
      <x:c r="F45" s="189" t="n">
        <x:f>MAX(MIN('詳細設定'!$D$15+-0.05,1),0)</x:f>
        <x:v>0.35000000000000003</x:v>
      </x:c>
      <x:c r="G45" s="563" t="n">
        <x:f>'_計算月次'!$J$9</x:f>
        <x:v>552.2367574934775</x:v>
      </x:c>
      <x:c r="H45" s="563" t="n">
        <x:f>'_計算月次'!$K$9</x:f>
        <x:v>315.00000000000006</x:v>
      </x:c>
      <x:c r="I45" s="563" t="n">
        <x:f>(1-MAX(MIN('詳細設定'!$D$16,0.999999),0))^(B45-1)</x:f>
        <x:v>1</x:v>
      </x:c>
      <x:c r="J45" s="563" t="n">
        <x:f>MAX(G45*D45*I45,0)</x:f>
        <x:v>497.01308174412975</x:v>
      </x:c>
      <x:c r="K45" s="563" t="n">
        <x:f>MAX(MIN(J45*F45,H45),0)</x:f>
        <x:v>173.95457861044542</x:v>
      </x:c>
      <x:c r="L45" s="563" t="n">
        <x:f>MAX(J45-K45,0)</x:f>
        <x:v>323.0585031336843</x:v>
      </x:c>
      <x:c r="M45" s="185" t="n">
        <x:f>MAX('詳細設定'!$D$6,0)*(1+'詳細設定'!$D$21)^(B45-1)</x:f>
        <x:v>36.060535</x:v>
      </x:c>
      <x:c r="N45" s="185" t="n">
        <x:f>IF(B45&lt;=MAX(MIN('詳細設定'!$D$8,20),0),MAX('詳細設定'!$D$7,0),IF(B45&lt;=MAX(MIN('詳細設定'!$D$10,20),0),MAX('詳細設定'!$D$9,0),MAX('詳細設定'!$D$11,0)))</x:f>
        <x:v>24</x:v>
      </x:c>
      <x:c r="O45" s="190" t="n">
        <x:f>K45*M45</x:f>
        <x:v>6272.8951703922185</x:v>
      </x:c>
      <x:c r="P45" s="190" t="n">
        <x:f>L45*N45</x:f>
        <x:v>7753.404075208424</x:v>
      </x:c>
      <x:c r="Q45" s="190" t="n">
        <x:f>O45+P45</x:f>
        <x:v>14026.299245600643</x:v>
      </x:c>
      <x:c r="R45" s="196" t="n">
        <x:f>J45-K45-L45</x:f>
        <x:v>0</x:v>
      </x:c>
    </x:row>
    <x:row r="46">
      <x:c r="A46" s="20" t="str">
        <x:v>慎重</x:v>
      </x:c>
      <x:c r="B46" s="20" t="n">
        <x:v>4</x:v>
      </x:c>
      <x:c r="C46" s="20" t="n">
        <x:v>6</x:v>
      </x:c>
      <x:c r="D46" s="189" t="n">
        <x:v>0.9</x:v>
      </x:c>
      <x:c r="E46" s="189" t="n">
        <x:v>1.1</x:v>
      </x:c>
      <x:c r="F46" s="189" t="n">
        <x:f>MAX(MIN('詳細設定'!$D$15+-0.05,1),0)</x:f>
        <x:v>0.35000000000000003</x:v>
      </x:c>
      <x:c r="G46" s="563" t="n">
        <x:f>'_計算月次'!$J$10</x:f>
        <x:v>448.7994857612148</x:v>
      </x:c>
      <x:c r="H46" s="563" t="n">
        <x:f>'_計算月次'!$K$10</x:f>
        <x:v>360</x:v>
      </x:c>
      <x:c r="I46" s="563" t="n">
        <x:f>(1-MAX(MIN('詳細設定'!$D$16,0.999999),0))^(B46-1)</x:f>
        <x:v>1</x:v>
      </x:c>
      <x:c r="J46" s="563" t="n">
        <x:f>MAX(G46*D46*I46,0)</x:f>
        <x:v>403.9195371850933</x:v>
      </x:c>
      <x:c r="K46" s="563" t="n">
        <x:f>MAX(MIN(J46*F46,H46),0)</x:f>
        <x:v>141.37183801478267</x:v>
      </x:c>
      <x:c r="L46" s="563" t="n">
        <x:f>MAX(J46-K46,0)</x:f>
        <x:v>262.54769917031064</x:v>
      </x:c>
      <x:c r="M46" s="185" t="n">
        <x:f>MAX('詳細設定'!$D$6,0)*(1+'詳細設定'!$D$21)^(B46-1)</x:f>
        <x:v>36.060535</x:v>
      </x:c>
      <x:c r="N46" s="185" t="n">
        <x:f>IF(B46&lt;=MAX(MIN('詳細設定'!$D$8,20),0),MAX('詳細設定'!$D$7,0),IF(B46&lt;=MAX(MIN('詳細設定'!$D$10,20),0),MAX('詳細設定'!$D$9,0),MAX('詳細設定'!$D$11,0)))</x:f>
        <x:v>24</x:v>
      </x:c>
      <x:c r="O46" s="190" t="n">
        <x:f>K46*M46</x:f>
        <x:v>5097.9441127464015</x:v>
      </x:c>
      <x:c r="P46" s="190" t="n">
        <x:f>L46*N46</x:f>
        <x:v>6301.144780087456</x:v>
      </x:c>
      <x:c r="Q46" s="190" t="n">
        <x:f>O46+P46</x:f>
        <x:v>11399.088892833857</x:v>
      </x:c>
      <x:c r="R46" s="196" t="n">
        <x:f>J46-K46-L46</x:f>
        <x:v>0</x:v>
      </x:c>
    </x:row>
    <x:row r="47">
      <x:c r="A47" s="20" t="str">
        <x:v>慎重</x:v>
      </x:c>
      <x:c r="B47" s="20" t="n">
        <x:v>4</x:v>
      </x:c>
      <x:c r="C47" s="20" t="n">
        <x:v>7</x:v>
      </x:c>
      <x:c r="D47" s="189" t="n">
        <x:v>0.9</x:v>
      </x:c>
      <x:c r="E47" s="189" t="n">
        <x:v>1.1</x:v>
      </x:c>
      <x:c r="F47" s="189" t="n">
        <x:f>MAX(MIN('詳細設定'!$D$15+-0.05,1),0)</x:f>
        <x:v>0.35000000000000003</x:v>
      </x:c>
      <x:c r="G47" s="563" t="n">
        <x:f>'_計算月次'!$J$11</x:f>
        <x:v>476.0181638067866</x:v>
      </x:c>
      <x:c r="H47" s="563" t="n">
        <x:f>'_計算月次'!$K$11</x:f>
        <x:v>405</x:v>
      </x:c>
      <x:c r="I47" s="563" t="n">
        <x:f>(1-MAX(MIN('詳細設定'!$D$16,0.999999),0))^(B47-1)</x:f>
        <x:v>1</x:v>
      </x:c>
      <x:c r="J47" s="563" t="n">
        <x:f>MAX(G47*D47*I47,0)</x:f>
        <x:v>428.41634742610796</x:v>
      </x:c>
      <x:c r="K47" s="563" t="n">
        <x:f>MAX(MIN(J47*F47,H47),0)</x:f>
        <x:v>149.9457215991378</x:v>
      </x:c>
      <x:c r="L47" s="563" t="n">
        <x:f>MAX(J47-K47,0)</x:f>
        <x:v>278.47062582697015</x:v>
      </x:c>
      <x:c r="M47" s="185" t="n">
        <x:f>MAX('詳細設定'!$D$6,0)*(1+'詳細設定'!$D$21)^(B47-1)</x:f>
        <x:v>36.060535</x:v>
      </x:c>
      <x:c r="N47" s="185" t="n">
        <x:f>IF(B47&lt;=MAX(MIN('詳細設定'!$D$8,20),0),MAX('詳細設定'!$D$7,0),IF(B47&lt;=MAX(MIN('詳細設定'!$D$10,20),0),MAX('詳細設定'!$D$9,0),MAX('詳細設定'!$D$11,0)))</x:f>
        <x:v>24</x:v>
      </x:c>
      <x:c r="O47" s="190" t="n">
        <x:f>K47*M47</x:f>
        <x:v>5407.122941825965</x:v>
      </x:c>
      <x:c r="P47" s="190" t="n">
        <x:f>L47*N47</x:f>
        <x:v>6683.295019847284</x:v>
      </x:c>
      <x:c r="Q47" s="190" t="n">
        <x:f>O47+P47</x:f>
        <x:v>12090.417961673249</x:v>
      </x:c>
      <x:c r="R47" s="196" t="n">
        <x:f>J47-K47-L47</x:f>
        <x:v>0</x:v>
      </x:c>
    </x:row>
    <x:row r="48">
      <x:c r="A48" s="20" t="str">
        <x:v>慎重</x:v>
      </x:c>
      <x:c r="B48" s="20" t="n">
        <x:v>4</x:v>
      </x:c>
      <x:c r="C48" s="20" t="n">
        <x:v>8</x:v>
      </x:c>
      <x:c r="D48" s="189" t="n">
        <x:v>0.9</x:v>
      </x:c>
      <x:c r="E48" s="189" t="n">
        <x:v>1.1</x:v>
      </x:c>
      <x:c r="F48" s="189" t="n">
        <x:f>MAX(MIN('詳細設定'!$D$15+-0.05,1),0)</x:f>
        <x:v>0.35000000000000003</x:v>
      </x:c>
      <x:c r="G48" s="563" t="n">
        <x:f>'_計算月次'!$J$12</x:f>
        <x:v>528.6548067323699</x:v>
      </x:c>
      <x:c r="H48" s="563" t="n">
        <x:f>'_計算月次'!$K$12</x:f>
        <x:v>450</x:v>
      </x:c>
      <x:c r="I48" s="563" t="n">
        <x:f>(1-MAX(MIN('詳細設定'!$D$16,0.999999),0))^(B48-1)</x:f>
        <x:v>1</x:v>
      </x:c>
      <x:c r="J48" s="563" t="n">
        <x:f>MAX(G48*D48*I48,0)</x:f>
        <x:v>475.789326059133</x:v>
      </x:c>
      <x:c r="K48" s="563" t="n">
        <x:f>MAX(MIN(J48*F48,H48),0)</x:f>
        <x:v>166.52626412069657</x:v>
      </x:c>
      <x:c r="L48" s="563" t="n">
        <x:f>MAX(J48-K48,0)</x:f>
        <x:v>309.2630619384364</x:v>
      </x:c>
      <x:c r="M48" s="185" t="n">
        <x:f>MAX('詳細設定'!$D$6,0)*(1+'詳細設定'!$D$21)^(B48-1)</x:f>
        <x:v>36.060535</x:v>
      </x:c>
      <x:c r="N48" s="185" t="n">
        <x:f>IF(B48&lt;=MAX(MIN('詳細設定'!$D$8,20),0),MAX('詳細設定'!$D$7,0),IF(B48&lt;=MAX(MIN('詳細設定'!$D$10,20),0),MAX('詳細設定'!$D$9,0),MAX('詳細設定'!$D$11,0)))</x:f>
        <x:v>24</x:v>
      </x:c>
      <x:c r="O48" s="190" t="n">
        <x:f>K48*M48</x:f>
        <x:v>6005.026175743623</x:v>
      </x:c>
      <x:c r="P48" s="190" t="n">
        <x:f>L48*N48</x:f>
        <x:v>7422.313486522474</x:v>
      </x:c>
      <x:c r="Q48" s="190" t="n">
        <x:f>O48+P48</x:f>
        <x:v>13427.339662266097</x:v>
      </x:c>
      <x:c r="R48" s="196" t="n">
        <x:f>J48-K48-L48</x:f>
        <x:v>0</x:v>
      </x:c>
    </x:row>
    <x:row r="49">
      <x:c r="A49" s="20" t="str">
        <x:v>慎重</x:v>
      </x:c>
      <x:c r="B49" s="20" t="n">
        <x:v>4</x:v>
      </x:c>
      <x:c r="C49" s="20" t="n">
        <x:v>9</x:v>
      </x:c>
      <x:c r="D49" s="189" t="n">
        <x:v>0.9</x:v>
      </x:c>
      <x:c r="E49" s="189" t="n">
        <x:v>1.1</x:v>
      </x:c>
      <x:c r="F49" s="189" t="n">
        <x:f>MAX(MIN('詳細設定'!$D$15+-0.05,1),0)</x:f>
        <x:v>0.35000000000000003</x:v>
      </x:c>
      <x:c r="G49" s="563" t="n">
        <x:f>'_計算月次'!$J$13</x:f>
        <x:v>436.37734765103465</x:v>
      </x:c>
      <x:c r="H49" s="563" t="n">
        <x:f>'_計算月次'!$K$13</x:f>
        <x:v>360</x:v>
      </x:c>
      <x:c r="I49" s="563" t="n">
        <x:f>(1-MAX(MIN('詳細設定'!$D$16,0.999999),0))^(B49-1)</x:f>
        <x:v>1</x:v>
      </x:c>
      <x:c r="J49" s="563" t="n">
        <x:f>MAX(G49*D49*I49,0)</x:f>
        <x:v>392.7396128859312</x:v>
      </x:c>
      <x:c r="K49" s="563" t="n">
        <x:f>MAX(MIN(J49*F49,H49),0)</x:f>
        <x:v>137.45886451007593</x:v>
      </x:c>
      <x:c r="L49" s="563" t="n">
        <x:f>MAX(J49-K49,0)</x:f>
        <x:v>255.28074837585527</x:v>
      </x:c>
      <x:c r="M49" s="185" t="n">
        <x:f>MAX('詳細設定'!$D$6,0)*(1+'詳細設定'!$D$21)^(B49-1)</x:f>
        <x:v>36.060535</x:v>
      </x:c>
      <x:c r="N49" s="185" t="n">
        <x:f>IF(B49&lt;=MAX(MIN('詳細設定'!$D$8,20),0),MAX('詳細設定'!$D$7,0),IF(B49&lt;=MAX(MIN('詳細設定'!$D$10,20),0),MAX('詳細設定'!$D$9,0),MAX('詳細設定'!$D$11,0)))</x:f>
        <x:v>24</x:v>
      </x:c>
      <x:c r="O49" s="190" t="n">
        <x:f>K49*M49</x:f>
        <x:v>4956.840194725851</x:v>
      </x:c>
      <x:c r="P49" s="190" t="n">
        <x:f>L49*N49</x:f>
        <x:v>6126.737961020526</x:v>
      </x:c>
      <x:c r="Q49" s="190" t="n">
        <x:f>O49+P49</x:f>
        <x:v>11083.578155746378</x:v>
      </x:c>
      <x:c r="R49" s="196" t="n">
        <x:f>J49-K49-L49</x:f>
        <x:v>0</x:v>
      </x:c>
    </x:row>
    <x:row r="50">
      <x:c r="A50" s="20" t="str">
        <x:v>慎重</x:v>
      </x:c>
      <x:c r="B50" s="20" t="n">
        <x:v>4</x:v>
      </x:c>
      <x:c r="C50" s="20" t="n">
        <x:v>10</x:v>
      </x:c>
      <x:c r="D50" s="189" t="n">
        <x:v>0.9</x:v>
      </x:c>
      <x:c r="E50" s="189" t="n">
        <x:v>1.1</x:v>
      </x:c>
      <x:c r="F50" s="189" t="n">
        <x:f>MAX(MIN('詳細設定'!$D$15+-0.05,1),0)</x:f>
        <x:v>0.35000000000000003</x:v>
      </x:c>
      <x:c r="G50" s="563" t="n">
        <x:f>'_計算月次'!$J$14</x:f>
        <x:v>408.8269849869007</x:v>
      </x:c>
      <x:c r="H50" s="563" t="n">
        <x:f>'_計算月次'!$K$14</x:f>
        <x:v>315.00000000000006</x:v>
      </x:c>
      <x:c r="I50" s="563" t="n">
        <x:f>(1-MAX(MIN('詳細設定'!$D$16,0.999999),0))^(B50-1)</x:f>
        <x:v>1</x:v>
      </x:c>
      <x:c r="J50" s="563" t="n">
        <x:f>MAX(G50*D50*I50,0)</x:f>
        <x:v>367.94428648821065</x:v>
      </x:c>
      <x:c r="K50" s="563" t="n">
        <x:f>MAX(MIN(J50*F50,H50),0)</x:f>
        <x:v>128.78050027087374</x:v>
      </x:c>
      <x:c r="L50" s="563" t="n">
        <x:f>MAX(J50-K50,0)</x:f>
        <x:v>239.1637862173369</x:v>
      </x:c>
      <x:c r="M50" s="185" t="n">
        <x:f>MAX('詳細設定'!$D$6,0)*(1+'詳細設定'!$D$21)^(B50-1)</x:f>
        <x:v>36.060535</x:v>
      </x:c>
      <x:c r="N50" s="185" t="n">
        <x:f>IF(B50&lt;=MAX(MIN('詳細設定'!$D$8,20),0),MAX('詳細設定'!$D$7,0),IF(B50&lt;=MAX(MIN('詳細設定'!$D$10,20),0),MAX('詳細設定'!$D$9,0),MAX('詳細設定'!$D$11,0)))</x:f>
        <x:v>24</x:v>
      </x:c>
      <x:c r="O50" s="190" t="n">
        <x:f>K50*M50</x:f>
        <x:v>4643.893737335352</x:v>
      </x:c>
      <x:c r="P50" s="190" t="n">
        <x:f>L50*N50</x:f>
        <x:v>5739.930869216086</x:v>
      </x:c>
      <x:c r="Q50" s="190" t="n">
        <x:f>O50+P50</x:f>
        <x:v>10383.824606551438</x:v>
      </x:c>
      <x:c r="R50" s="196" t="n">
        <x:f>J50-K50-L50</x:f>
        <x:v>0</x:v>
      </x:c>
    </x:row>
    <x:row r="51">
      <x:c r="A51" s="20" t="str">
        <x:v>慎重</x:v>
      </x:c>
      <x:c r="B51" s="20" t="n">
        <x:v>4</x:v>
      </x:c>
      <x:c r="C51" s="20" t="n">
        <x:v>11</x:v>
      </x:c>
      <x:c r="D51" s="189" t="n">
        <x:v>0.9</x:v>
      </x:c>
      <x:c r="E51" s="189" t="n">
        <x:v>1.1</x:v>
      </x:c>
      <x:c r="F51" s="189" t="n">
        <x:f>MAX(MIN('詳細設定'!$D$15+-0.05,1),0)</x:f>
        <x:v>0.35000000000000003</x:v>
      </x:c>
      <x:c r="G51" s="563" t="n">
        <x:f>'_計算月次'!$J$15</x:f>
        <x:v>398.45169764745054</x:v>
      </x:c>
      <x:c r="H51" s="563" t="n">
        <x:f>'_計算月次'!$K$15</x:f>
        <x:v>360</x:v>
      </x:c>
      <x:c r="I51" s="563" t="n">
        <x:f>(1-MAX(MIN('詳細設定'!$D$16,0.999999),0))^(B51-1)</x:f>
        <x:v>1</x:v>
      </x:c>
      <x:c r="J51" s="563" t="n">
        <x:f>MAX(G51*D51*I51,0)</x:f>
        <x:v>358.6065278827055</x:v>
      </x:c>
      <x:c r="K51" s="563" t="n">
        <x:f>MAX(MIN(J51*F51,H51),0)</x:f>
        <x:v>125.51228475894693</x:v>
      </x:c>
      <x:c r="L51" s="563" t="n">
        <x:f>MAX(J51-K51,0)</x:f>
        <x:v>233.0942431237586</x:v>
      </x:c>
      <x:c r="M51" s="185" t="n">
        <x:f>MAX('詳細設定'!$D$6,0)*(1+'詳細設定'!$D$21)^(B51-1)</x:f>
        <x:v>36.060535</x:v>
      </x:c>
      <x:c r="N51" s="185" t="n">
        <x:f>IF(B51&lt;=MAX(MIN('詳細設定'!$D$8,20),0),MAX('詳細設定'!$D$7,0),IF(B51&lt;=MAX(MIN('詳細設定'!$D$10,20),0),MAX('詳細設定'!$D$9,0),MAX('詳細設定'!$D$11,0)))</x:f>
        <x:v>24</x:v>
      </x:c>
      <x:c r="O51" s="190" t="n">
        <x:f>K51*M51</x:f>
        <x:v>4526.040137479973</x:v>
      </x:c>
      <x:c r="P51" s="190" t="n">
        <x:f>L51*N51</x:f>
        <x:v>5594.261834970206</x:v>
      </x:c>
      <x:c r="Q51" s="190" t="n">
        <x:f>O51+P51</x:f>
        <x:v>10120.30197245018</x:v>
      </x:c>
      <x:c r="R51" s="196" t="n">
        <x:f>J51-K51-L51</x:f>
        <x:v>0</x:v>
      </x:c>
    </x:row>
    <x:row r="52">
      <x:c r="A52" s="20" t="str">
        <x:v>慎重</x:v>
      </x:c>
      <x:c r="B52" s="20" t="n">
        <x:v>4</x:v>
      </x:c>
      <x:c r="C52" s="20" t="n">
        <x:v>12</x:v>
      </x:c>
      <x:c r="D52" s="189" t="n">
        <x:v>0.9</x:v>
      </x:c>
      <x:c r="E52" s="189" t="n">
        <x:v>1.1</x:v>
      </x:c>
      <x:c r="F52" s="189" t="n">
        <x:f>MAX(MIN('詳細設定'!$D$15+-0.05,1),0)</x:f>
        <x:v>0.35000000000000003</x:v>
      </x:c>
      <x:c r="G52" s="563" t="n">
        <x:f>'_計算月次'!$J$16</x:f>
        <x:v>443.97248688000184</x:v>
      </x:c>
      <x:c r="H52" s="563" t="n">
        <x:f>'_計算月次'!$K$16</x:f>
        <x:v>405</x:v>
      </x:c>
      <x:c r="I52" s="563" t="n">
        <x:f>(1-MAX(MIN('詳細設定'!$D$16,0.999999),0))^(B52-1)</x:f>
        <x:v>1</x:v>
      </x:c>
      <x:c r="J52" s="563" t="n">
        <x:f>MAX(G52*D52*I52,0)</x:f>
        <x:v>399.5752381920017</x:v>
      </x:c>
      <x:c r="K52" s="563" t="n">
        <x:f>MAX(MIN(J52*F52,H52),0)</x:f>
        <x:v>139.8513333672006</x:v>
      </x:c>
      <x:c r="L52" s="563" t="n">
        <x:f>MAX(J52-K52,0)</x:f>
        <x:v>259.7239048248011</x:v>
      </x:c>
      <x:c r="M52" s="185" t="n">
        <x:f>MAX('詳細設定'!$D$6,0)*(1+'詳細設定'!$D$21)^(B52-1)</x:f>
        <x:v>36.060535</x:v>
      </x:c>
      <x:c r="N52" s="185" t="n">
        <x:f>IF(B52&lt;=MAX(MIN('詳細設定'!$D$8,20),0),MAX('詳細設定'!$D$7,0),IF(B52&lt;=MAX(MIN('詳細設定'!$D$10,20),0),MAX('詳細設定'!$D$9,0),MAX('詳細設定'!$D$11,0)))</x:f>
        <x:v>24</x:v>
      </x:c>
      <x:c r="O52" s="190" t="n">
        <x:f>K52*M52</x:f>
        <x:v>5043.1139016846055</x:v>
      </x:c>
      <x:c r="P52" s="190" t="n">
        <x:f>L52*N52</x:f>
        <x:v>6233.3737157952255</x:v>
      </x:c>
      <x:c r="Q52" s="190" t="n">
        <x:f>O52+P52</x:f>
        <x:v>11276.48761747983</x:v>
      </x:c>
      <x:c r="R52" s="196" t="n">
        <x:f>J52-K52-L52</x:f>
        <x:v>0</x:v>
      </x:c>
    </x:row>
    <x:row r="53">
      <x:c r="A53" s="20" t="str">
        <x:v>慎重</x:v>
      </x:c>
      <x:c r="B53" s="20" t="n">
        <x:v>5</x:v>
      </x:c>
      <x:c r="C53" s="20" t="n">
        <x:v>1</x:v>
      </x:c>
      <x:c r="D53" s="189" t="n">
        <x:v>0.9</x:v>
      </x:c>
      <x:c r="E53" s="189" t="n">
        <x:v>1.1</x:v>
      </x:c>
      <x:c r="F53" s="189" t="n">
        <x:f>MAX(MIN('詳細設定'!$D$15+-0.05,1),0)</x:f>
        <x:v>0.35000000000000003</x:v>
      </x:c>
      <x:c r="G53" s="563" t="n">
        <x:f>'_計算月次'!$J$5</x:f>
        <x:v>502.4147595742038</x:v>
      </x:c>
      <x:c r="H53" s="563" t="n">
        <x:f>'_計算月次'!$K$5</x:f>
        <x:v>450</x:v>
      </x:c>
      <x:c r="I53" s="563" t="n">
        <x:f>(1-MAX(MIN('詳細設定'!$D$16,0.999999),0))^(B53-1)</x:f>
        <x:v>1</x:v>
      </x:c>
      <x:c r="J53" s="563" t="n">
        <x:f>MAX(G53*D53*I53,0)</x:f>
        <x:v>452.1732836167834</x:v>
      </x:c>
      <x:c r="K53" s="563" t="n">
        <x:f>MAX(MIN(J53*F53,H53),0)</x:f>
        <x:v>158.2606492658742</x:v>
      </x:c>
      <x:c r="L53" s="563" t="n">
        <x:f>MAX(J53-K53,0)</x:f>
        <x:v>293.91263435090923</x:v>
      </x:c>
      <x:c r="M53" s="185" t="n">
        <x:f>MAX('詳細設定'!$D$6,0)*(1+'詳細設定'!$D$21)^(B53-1)</x:f>
        <x:v>36.42114035</x:v>
      </x:c>
      <x:c r="N53" s="185" t="n">
        <x:f>IF(B53&lt;=MAX(MIN('詳細設定'!$D$8,20),0),MAX('詳細設定'!$D$7,0),IF(B53&lt;=MAX(MIN('詳細設定'!$D$10,20),0),MAX('詳細設定'!$D$9,0),MAX('詳細設定'!$D$11,0)))</x:f>
        <x:v>8.3</x:v>
      </x:c>
      <x:c r="O53" s="190" t="n">
        <x:f>K53*M53</x:f>
        <x:v>5764.033318794529</x:v>
      </x:c>
      <x:c r="P53" s="190" t="n">
        <x:f>L53*N53</x:f>
        <x:v>2439.474865112547</x:v>
      </x:c>
      <x:c r="Q53" s="190" t="n">
        <x:f>O53+P53</x:f>
        <x:v>8203.508183907075</x:v>
      </x:c>
      <x:c r="R53" s="196" t="n">
        <x:f>J53-K53-L53</x:f>
        <x:v>0</x:v>
      </x:c>
    </x:row>
    <x:row r="54">
      <x:c r="A54" s="20" t="str">
        <x:v>慎重</x:v>
      </x:c>
      <x:c r="B54" s="20" t="n">
        <x:v>5</x:v>
      </x:c>
      <x:c r="C54" s="20" t="n">
        <x:v>2</x:v>
      </x:c>
      <x:c r="D54" s="189" t="n">
        <x:v>0.9</x:v>
      </x:c>
      <x:c r="E54" s="189" t="n">
        <x:v>1.1</x:v>
      </x:c>
      <x:c r="F54" s="189" t="n">
        <x:f>MAX(MIN('詳細設定'!$D$15+-0.05,1),0)</x:f>
        <x:v>0.35000000000000003</x:v>
      </x:c>
      <x:c r="G54" s="563" t="n">
        <x:f>'_計算月次'!$J$6</x:f>
        <x:v>472.4508339500229</x:v>
      </x:c>
      <x:c r="H54" s="563" t="n">
        <x:f>'_計算月次'!$K$6</x:f>
        <x:v>405</x:v>
      </x:c>
      <x:c r="I54" s="563" t="n">
        <x:f>(1-MAX(MIN('詳細設定'!$D$16,0.999999),0))^(B54-1)</x:f>
        <x:v>1</x:v>
      </x:c>
      <x:c r="J54" s="563" t="n">
        <x:f>MAX(G54*D54*I54,0)</x:f>
        <x:v>425.20575055502064</x:v>
      </x:c>
      <x:c r="K54" s="563" t="n">
        <x:f>MAX(MIN(J54*F54,H54),0)</x:f>
        <x:v>148.82201269425724</x:v>
      </x:c>
      <x:c r="L54" s="563" t="n">
        <x:f>MAX(J54-K54,0)</x:f>
        <x:v>276.3837378607634</x:v>
      </x:c>
      <x:c r="M54" s="185" t="n">
        <x:f>MAX('詳細設定'!$D$6,0)*(1+'詳細設定'!$D$21)^(B54-1)</x:f>
        <x:v>36.42114035</x:v>
      </x:c>
      <x:c r="N54" s="185" t="n">
        <x:f>IF(B54&lt;=MAX(MIN('詳細設定'!$D$8,20),0),MAX('詳細設定'!$D$7,0),IF(B54&lt;=MAX(MIN('詳細設定'!$D$10,20),0),MAX('詳細設定'!$D$9,0),MAX('詳細設定'!$D$11,0)))</x:f>
        <x:v>8.3</x:v>
      </x:c>
      <x:c r="O54" s="190" t="n">
        <x:f>K54*M54</x:f>
        <x:v>5420.267411507025</x:v>
      </x:c>
      <x:c r="P54" s="190" t="n">
        <x:f>L54*N54</x:f>
        <x:v>2293.9850242443363</x:v>
      </x:c>
      <x:c r="Q54" s="190" t="n">
        <x:f>O54+P54</x:f>
        <x:v>7714.252435751361</x:v>
      </x:c>
      <x:c r="R54" s="196" t="n">
        <x:f>J54-K54-L54</x:f>
        <x:v>0</x:v>
      </x:c>
    </x:row>
    <x:row r="55">
      <x:c r="A55" s="20" t="str">
        <x:v>慎重</x:v>
      </x:c>
      <x:c r="B55" s="20" t="n">
        <x:v>5</x:v>
      </x:c>
      <x:c r="C55" s="20" t="n">
        <x:v>3</x:v>
      </x:c>
      <x:c r="D55" s="189" t="n">
        <x:v>0.9</x:v>
      </x:c>
      <x:c r="E55" s="189" t="n">
        <x:v>1.1</x:v>
      </x:c>
      <x:c r="F55" s="189" t="n">
        <x:f>MAX(MIN('詳細設定'!$D$15+-0.05,1),0)</x:f>
        <x:v>0.35000000000000003</x:v>
      </x:c>
      <x:c r="G55" s="563" t="n">
        <x:f>'_計算月次'!$J$7</x:f>
        <x:v>548.3418864753118</x:v>
      </x:c>
      <x:c r="H55" s="563" t="n">
        <x:f>'_計算月次'!$K$7</x:f>
        <x:v>360</x:v>
      </x:c>
      <x:c r="I55" s="563" t="n">
        <x:f>(1-MAX(MIN('詳細設定'!$D$16,0.999999),0))^(B55-1)</x:f>
        <x:v>1</x:v>
      </x:c>
      <x:c r="J55" s="563" t="n">
        <x:f>MAX(G55*D55*I55,0)</x:f>
        <x:v>493.5076978277806</x:v>
      </x:c>
      <x:c r="K55" s="563" t="n">
        <x:f>MAX(MIN(J55*F55,H55),0)</x:f>
        <x:v>172.72769423972323</x:v>
      </x:c>
      <x:c r="L55" s="563" t="n">
        <x:f>MAX(J55-K55,0)</x:f>
        <x:v>320.78000358805735</x:v>
      </x:c>
      <x:c r="M55" s="185" t="n">
        <x:f>MAX('詳細設定'!$D$6,0)*(1+'詳細設定'!$D$21)^(B55-1)</x:f>
        <x:v>36.42114035</x:v>
      </x:c>
      <x:c r="N55" s="185" t="n">
        <x:f>IF(B55&lt;=MAX(MIN('詳細設定'!$D$8,20),0),MAX('詳細設定'!$D$7,0),IF(B55&lt;=MAX(MIN('詳細設定'!$D$10,20),0),MAX('詳細設定'!$D$9,0),MAX('詳細設定'!$D$11,0)))</x:f>
        <x:v>8.3</x:v>
      </x:c>
      <x:c r="O55" s="190" t="n">
        <x:f>K55*M55</x:f>
        <x:v>6290.9395942368465</x:v>
      </x:c>
      <x:c r="P55" s="190" t="n">
        <x:f>L55*N55</x:f>
        <x:v>2662.474029780876</x:v>
      </x:c>
      <x:c r="Q55" s="190" t="n">
        <x:f>O55+P55</x:f>
        <x:v>8953.413624017723</x:v>
      </x:c>
      <x:c r="R55" s="196" t="n">
        <x:f>J55-K55-L55</x:f>
        <x:v>0</x:v>
      </x:c>
    </x:row>
    <x:row r="56">
      <x:c r="A56" s="20" t="str">
        <x:v>慎重</x:v>
      </x:c>
      <x:c r="B56" s="20" t="n">
        <x:v>5</x:v>
      </x:c>
      <x:c r="C56" s="20" t="n">
        <x:v>4</x:v>
      </x:c>
      <x:c r="D56" s="189" t="n">
        <x:v>0.9</x:v>
      </x:c>
      <x:c r="E56" s="189" t="n">
        <x:v>1.1</x:v>
      </x:c>
      <x:c r="F56" s="189" t="n">
        <x:f>MAX(MIN('詳細設定'!$D$15+-0.05,1),0)</x:f>
        <x:v>0.35000000000000003</x:v>
      </x:c>
      <x:c r="G56" s="563" t="n">
        <x:f>'_計算月次'!$J$8</x:f>
        <x:v>548.3944393749554</x:v>
      </x:c>
      <x:c r="H56" s="563" t="n">
        <x:f>'_計算月次'!$K$8</x:f>
        <x:v>315.00000000000006</x:v>
      </x:c>
      <x:c r="I56" s="563" t="n">
        <x:f>(1-MAX(MIN('詳細設定'!$D$16,0.999999),0))^(B56-1)</x:f>
        <x:v>1</x:v>
      </x:c>
      <x:c r="J56" s="563" t="n">
        <x:f>MAX(G56*D56*I56,0)</x:f>
        <x:v>493.55499543745987</x:v>
      </x:c>
      <x:c r="K56" s="563" t="n">
        <x:f>MAX(MIN(J56*F56,H56),0)</x:f>
        <x:v>172.74424840311096</x:v>
      </x:c>
      <x:c r="L56" s="563" t="n">
        <x:f>MAX(J56-K56,0)</x:f>
        <x:v>320.8107470343489</x:v>
      </x:c>
      <x:c r="M56" s="185" t="n">
        <x:f>MAX('詳細設定'!$D$6,0)*(1+'詳細設定'!$D$21)^(B56-1)</x:f>
        <x:v>36.42114035</x:v>
      </x:c>
      <x:c r="N56" s="185" t="n">
        <x:f>IF(B56&lt;=MAX(MIN('詳細設定'!$D$8,20),0),MAX('詳細設定'!$D$7,0),IF(B56&lt;=MAX(MIN('詳細設定'!$D$10,20),0),MAX('詳細設定'!$D$9,0),MAX('詳細設定'!$D$11,0)))</x:f>
        <x:v>8.3</x:v>
      </x:c>
      <x:c r="O56" s="190" t="n">
        <x:f>K56*M56</x:f>
        <x:v>6291.542515744968</x:v>
      </x:c>
      <x:c r="P56" s="190" t="n">
        <x:f>L56*N56</x:f>
        <x:v>2662.7292003850957</x:v>
      </x:c>
      <x:c r="Q56" s="190" t="n">
        <x:f>O56+P56</x:f>
        <x:v>8954.271716130064</x:v>
      </x:c>
      <x:c r="R56" s="196" t="n">
        <x:f>J56-K56-L56</x:f>
        <x:v>0</x:v>
      </x:c>
    </x:row>
    <x:row r="57">
      <x:c r="A57" s="20" t="str">
        <x:v>慎重</x:v>
      </x:c>
      <x:c r="B57" s="20" t="n">
        <x:v>5</x:v>
      </x:c>
      <x:c r="C57" s="20" t="n">
        <x:v>5</x:v>
      </x:c>
      <x:c r="D57" s="189" t="n">
        <x:v>0.9</x:v>
      </x:c>
      <x:c r="E57" s="189" t="n">
        <x:v>1.1</x:v>
      </x:c>
      <x:c r="F57" s="189" t="n">
        <x:f>MAX(MIN('詳細設定'!$D$15+-0.05,1),0)</x:f>
        <x:v>0.35000000000000003</x:v>
      </x:c>
      <x:c r="G57" s="563" t="n">
        <x:f>'_計算月次'!$J$9</x:f>
        <x:v>552.2367574934775</x:v>
      </x:c>
      <x:c r="H57" s="563" t="n">
        <x:f>'_計算月次'!$K$9</x:f>
        <x:v>315.00000000000006</x:v>
      </x:c>
      <x:c r="I57" s="563" t="n">
        <x:f>(1-MAX(MIN('詳細設定'!$D$16,0.999999),0))^(B57-1)</x:f>
        <x:v>1</x:v>
      </x:c>
      <x:c r="J57" s="563" t="n">
        <x:f>MAX(G57*D57*I57,0)</x:f>
        <x:v>497.01308174412975</x:v>
      </x:c>
      <x:c r="K57" s="563" t="n">
        <x:f>MAX(MIN(J57*F57,H57),0)</x:f>
        <x:v>173.95457861044542</x:v>
      </x:c>
      <x:c r="L57" s="563" t="n">
        <x:f>MAX(J57-K57,0)</x:f>
        <x:v>323.0585031336843</x:v>
      </x:c>
      <x:c r="M57" s="185" t="n">
        <x:f>MAX('詳細設定'!$D$6,0)*(1+'詳細設定'!$D$21)^(B57-1)</x:f>
        <x:v>36.42114035</x:v>
      </x:c>
      <x:c r="N57" s="185" t="n">
        <x:f>IF(B57&lt;=MAX(MIN('詳細設定'!$D$8,20),0),MAX('詳細設定'!$D$7,0),IF(B57&lt;=MAX(MIN('詳細設定'!$D$10,20),0),MAX('詳細設定'!$D$9,0),MAX('詳細設定'!$D$11,0)))</x:f>
        <x:v>8.3</x:v>
      </x:c>
      <x:c r="O57" s="190" t="n">
        <x:f>K57*M57</x:f>
        <x:v>6335.624122096141</x:v>
      </x:c>
      <x:c r="P57" s="190" t="n">
        <x:f>L57*N57</x:f>
        <x:v>2681.3855760095803</x:v>
      </x:c>
      <x:c r="Q57" s="190" t="n">
        <x:f>O57+P57</x:f>
        <x:v>9017.009698105721</x:v>
      </x:c>
      <x:c r="R57" s="196" t="n">
        <x:f>J57-K57-L57</x:f>
        <x:v>0</x:v>
      </x:c>
    </x:row>
    <x:row r="58">
      <x:c r="A58" s="20" t="str">
        <x:v>慎重</x:v>
      </x:c>
      <x:c r="B58" s="20" t="n">
        <x:v>5</x:v>
      </x:c>
      <x:c r="C58" s="20" t="n">
        <x:v>6</x:v>
      </x:c>
      <x:c r="D58" s="189" t="n">
        <x:v>0.9</x:v>
      </x:c>
      <x:c r="E58" s="189" t="n">
        <x:v>1.1</x:v>
      </x:c>
      <x:c r="F58" s="189" t="n">
        <x:f>MAX(MIN('詳細設定'!$D$15+-0.05,1),0)</x:f>
        <x:v>0.35000000000000003</x:v>
      </x:c>
      <x:c r="G58" s="563" t="n">
        <x:f>'_計算月次'!$J$10</x:f>
        <x:v>448.7994857612148</x:v>
      </x:c>
      <x:c r="H58" s="563" t="n">
        <x:f>'_計算月次'!$K$10</x:f>
        <x:v>360</x:v>
      </x:c>
      <x:c r="I58" s="563" t="n">
        <x:f>(1-MAX(MIN('詳細設定'!$D$16,0.999999),0))^(B58-1)</x:f>
        <x:v>1</x:v>
      </x:c>
      <x:c r="J58" s="563" t="n">
        <x:f>MAX(G58*D58*I58,0)</x:f>
        <x:v>403.9195371850933</x:v>
      </x:c>
      <x:c r="K58" s="563" t="n">
        <x:f>MAX(MIN(J58*F58,H58),0)</x:f>
        <x:v>141.37183801478267</x:v>
      </x:c>
      <x:c r="L58" s="563" t="n">
        <x:f>MAX(J58-K58,0)</x:f>
        <x:v>262.54769917031064</x:v>
      </x:c>
      <x:c r="M58" s="185" t="n">
        <x:f>MAX('詳細設定'!$D$6,0)*(1+'詳細設定'!$D$21)^(B58-1)</x:f>
        <x:v>36.42114035</x:v>
      </x:c>
      <x:c r="N58" s="185" t="n">
        <x:f>IF(B58&lt;=MAX(MIN('詳細設定'!$D$8,20),0),MAX('詳細設定'!$D$7,0),IF(B58&lt;=MAX(MIN('詳細設定'!$D$10,20),0),MAX('詳細設定'!$D$9,0),MAX('詳細設定'!$D$11,0)))</x:f>
        <x:v>8.3</x:v>
      </x:c>
      <x:c r="O58" s="190" t="n">
        <x:f>K58*M58</x:f>
        <x:v>5148.923553873865</x:v>
      </x:c>
      <x:c r="P58" s="190" t="n">
        <x:f>L58*N58</x:f>
        <x:v>2179.1459031135782</x:v>
      </x:c>
      <x:c r="Q58" s="190" t="n">
        <x:f>O58+P58</x:f>
        <x:v>7328.069456987443</x:v>
      </x:c>
      <x:c r="R58" s="196" t="n">
        <x:f>J58-K58-L58</x:f>
        <x:v>0</x:v>
      </x:c>
    </x:row>
    <x:row r="59">
      <x:c r="A59" s="20" t="str">
        <x:v>慎重</x:v>
      </x:c>
      <x:c r="B59" s="20" t="n">
        <x:v>5</x:v>
      </x:c>
      <x:c r="C59" s="20" t="n">
        <x:v>7</x:v>
      </x:c>
      <x:c r="D59" s="189" t="n">
        <x:v>0.9</x:v>
      </x:c>
      <x:c r="E59" s="189" t="n">
        <x:v>1.1</x:v>
      </x:c>
      <x:c r="F59" s="189" t="n">
        <x:f>MAX(MIN('詳細設定'!$D$15+-0.05,1),0)</x:f>
        <x:v>0.35000000000000003</x:v>
      </x:c>
      <x:c r="G59" s="563" t="n">
        <x:f>'_計算月次'!$J$11</x:f>
        <x:v>476.0181638067866</x:v>
      </x:c>
      <x:c r="H59" s="563" t="n">
        <x:f>'_計算月次'!$K$11</x:f>
        <x:v>405</x:v>
      </x:c>
      <x:c r="I59" s="563" t="n">
        <x:f>(1-MAX(MIN('詳細設定'!$D$16,0.999999),0))^(B59-1)</x:f>
        <x:v>1</x:v>
      </x:c>
      <x:c r="J59" s="563" t="n">
        <x:f>MAX(G59*D59*I59,0)</x:f>
        <x:v>428.41634742610796</x:v>
      </x:c>
      <x:c r="K59" s="563" t="n">
        <x:f>MAX(MIN(J59*F59,H59),0)</x:f>
        <x:v>149.9457215991378</x:v>
      </x:c>
      <x:c r="L59" s="563" t="n">
        <x:f>MAX(J59-K59,0)</x:f>
        <x:v>278.47062582697015</x:v>
      </x:c>
      <x:c r="M59" s="185" t="n">
        <x:f>MAX('詳細設定'!$D$6,0)*(1+'詳細設定'!$D$21)^(B59-1)</x:f>
        <x:v>36.42114035</x:v>
      </x:c>
      <x:c r="N59" s="185" t="n">
        <x:f>IF(B59&lt;=MAX(MIN('詳細設定'!$D$8,20),0),MAX('詳細設定'!$D$7,0),IF(B59&lt;=MAX(MIN('詳細設定'!$D$10,20),0),MAX('詳細設定'!$D$9,0),MAX('詳細設定'!$D$11,0)))</x:f>
        <x:v>8.3</x:v>
      </x:c>
      <x:c r="O59" s="190" t="n">
        <x:f>K59*M59</x:f>
        <x:v>5461.194171244225</x:v>
      </x:c>
      <x:c r="P59" s="190" t="n">
        <x:f>L59*N59</x:f>
        <x:v>2311.3061943638522</x:v>
      </x:c>
      <x:c r="Q59" s="190" t="n">
        <x:f>O59+P59</x:f>
        <x:v>7772.500365608077</x:v>
      </x:c>
      <x:c r="R59" s="196" t="n">
        <x:f>J59-K59-L59</x:f>
        <x:v>0</x:v>
      </x:c>
    </x:row>
    <x:row r="60">
      <x:c r="A60" s="20" t="str">
        <x:v>慎重</x:v>
      </x:c>
      <x:c r="B60" s="20" t="n">
        <x:v>5</x:v>
      </x:c>
      <x:c r="C60" s="20" t="n">
        <x:v>8</x:v>
      </x:c>
      <x:c r="D60" s="189" t="n">
        <x:v>0.9</x:v>
      </x:c>
      <x:c r="E60" s="189" t="n">
        <x:v>1.1</x:v>
      </x:c>
      <x:c r="F60" s="189" t="n">
        <x:f>MAX(MIN('詳細設定'!$D$15+-0.05,1),0)</x:f>
        <x:v>0.35000000000000003</x:v>
      </x:c>
      <x:c r="G60" s="563" t="n">
        <x:f>'_計算月次'!$J$12</x:f>
        <x:v>528.6548067323699</x:v>
      </x:c>
      <x:c r="H60" s="563" t="n">
        <x:f>'_計算月次'!$K$12</x:f>
        <x:v>450</x:v>
      </x:c>
      <x:c r="I60" s="563" t="n">
        <x:f>(1-MAX(MIN('詳細設定'!$D$16,0.999999),0))^(B60-1)</x:f>
        <x:v>1</x:v>
      </x:c>
      <x:c r="J60" s="563" t="n">
        <x:f>MAX(G60*D60*I60,0)</x:f>
        <x:v>475.789326059133</x:v>
      </x:c>
      <x:c r="K60" s="563" t="n">
        <x:f>MAX(MIN(J60*F60,H60),0)</x:f>
        <x:v>166.52626412069657</x:v>
      </x:c>
      <x:c r="L60" s="563" t="n">
        <x:f>MAX(J60-K60,0)</x:f>
        <x:v>309.2630619384364</x:v>
      </x:c>
      <x:c r="M60" s="185" t="n">
        <x:f>MAX('詳細設定'!$D$6,0)*(1+'詳細設定'!$D$21)^(B60-1)</x:f>
        <x:v>36.42114035</x:v>
      </x:c>
      <x:c r="N60" s="185" t="n">
        <x:f>IF(B60&lt;=MAX(MIN('詳細設定'!$D$8,20),0),MAX('詳細設定'!$D$7,0),IF(B60&lt;=MAX(MIN('詳細設定'!$D$10,20),0),MAX('詳細設定'!$D$9,0),MAX('詳細設定'!$D$11,0)))</x:f>
        <x:v>8.3</x:v>
      </x:c>
      <x:c r="O60" s="190" t="n">
        <x:f>K60*M60</x:f>
        <x:v>6065.076437501059</x:v>
      </x:c>
      <x:c r="P60" s="190" t="n">
        <x:f>L60*N60</x:f>
        <x:v>2566.8834140890226</x:v>
      </x:c>
      <x:c r="Q60" s="190" t="n">
        <x:f>O60+P60</x:f>
        <x:v>8631.959851590082</x:v>
      </x:c>
      <x:c r="R60" s="196" t="n">
        <x:f>J60-K60-L60</x:f>
        <x:v>0</x:v>
      </x:c>
    </x:row>
    <x:row r="61">
      <x:c r="A61" s="20" t="str">
        <x:v>慎重</x:v>
      </x:c>
      <x:c r="B61" s="20" t="n">
        <x:v>5</x:v>
      </x:c>
      <x:c r="C61" s="20" t="n">
        <x:v>9</x:v>
      </x:c>
      <x:c r="D61" s="189" t="n">
        <x:v>0.9</x:v>
      </x:c>
      <x:c r="E61" s="189" t="n">
        <x:v>1.1</x:v>
      </x:c>
      <x:c r="F61" s="189" t="n">
        <x:f>MAX(MIN('詳細設定'!$D$15+-0.05,1),0)</x:f>
        <x:v>0.35000000000000003</x:v>
      </x:c>
      <x:c r="G61" s="563" t="n">
        <x:f>'_計算月次'!$J$13</x:f>
        <x:v>436.37734765103465</x:v>
      </x:c>
      <x:c r="H61" s="563" t="n">
        <x:f>'_計算月次'!$K$13</x:f>
        <x:v>360</x:v>
      </x:c>
      <x:c r="I61" s="563" t="n">
        <x:f>(1-MAX(MIN('詳細設定'!$D$16,0.999999),0))^(B61-1)</x:f>
        <x:v>1</x:v>
      </x:c>
      <x:c r="J61" s="563" t="n">
        <x:f>MAX(G61*D61*I61,0)</x:f>
        <x:v>392.7396128859312</x:v>
      </x:c>
      <x:c r="K61" s="563" t="n">
        <x:f>MAX(MIN(J61*F61,H61),0)</x:f>
        <x:v>137.45886451007593</x:v>
      </x:c>
      <x:c r="L61" s="563" t="n">
        <x:f>MAX(J61-K61,0)</x:f>
        <x:v>255.28074837585527</x:v>
      </x:c>
      <x:c r="M61" s="185" t="n">
        <x:f>MAX('詳細設定'!$D$6,0)*(1+'詳細設定'!$D$21)^(B61-1)</x:f>
        <x:v>36.42114035</x:v>
      </x:c>
      <x:c r="N61" s="185" t="n">
        <x:f>IF(B61&lt;=MAX(MIN('詳細設定'!$D$8,20),0),MAX('詳細設定'!$D$7,0),IF(B61&lt;=MAX(MIN('詳細設定'!$D$10,20),0),MAX('詳細設定'!$D$9,0),MAX('詳細設定'!$D$11,0)))</x:f>
        <x:v>8.3</x:v>
      </x:c>
      <x:c r="O61" s="190" t="n">
        <x:f>K61*M61</x:f>
        <x:v>5006.40859667311</x:v>
      </x:c>
      <x:c r="P61" s="190" t="n">
        <x:f>L61*N61</x:f>
        <x:v>2118.830211519599</x:v>
      </x:c>
      <x:c r="Q61" s="190" t="n">
        <x:f>O61+P61</x:f>
        <x:v>7125.238808192709</x:v>
      </x:c>
      <x:c r="R61" s="196" t="n">
        <x:f>J61-K61-L61</x:f>
        <x:v>0</x:v>
      </x:c>
    </x:row>
    <x:row r="62">
      <x:c r="A62" s="20" t="str">
        <x:v>慎重</x:v>
      </x:c>
      <x:c r="B62" s="20" t="n">
        <x:v>5</x:v>
      </x:c>
      <x:c r="C62" s="20" t="n">
        <x:v>10</x:v>
      </x:c>
      <x:c r="D62" s="189" t="n">
        <x:v>0.9</x:v>
      </x:c>
      <x:c r="E62" s="189" t="n">
        <x:v>1.1</x:v>
      </x:c>
      <x:c r="F62" s="189" t="n">
        <x:f>MAX(MIN('詳細設定'!$D$15+-0.05,1),0)</x:f>
        <x:v>0.35000000000000003</x:v>
      </x:c>
      <x:c r="G62" s="563" t="n">
        <x:f>'_計算月次'!$J$14</x:f>
        <x:v>408.8269849869007</x:v>
      </x:c>
      <x:c r="H62" s="563" t="n">
        <x:f>'_計算月次'!$K$14</x:f>
        <x:v>315.00000000000006</x:v>
      </x:c>
      <x:c r="I62" s="563" t="n">
        <x:f>(1-MAX(MIN('詳細設定'!$D$16,0.999999),0))^(B62-1)</x:f>
        <x:v>1</x:v>
      </x:c>
      <x:c r="J62" s="563" t="n">
        <x:f>MAX(G62*D62*I62,0)</x:f>
        <x:v>367.94428648821065</x:v>
      </x:c>
      <x:c r="K62" s="563" t="n">
        <x:f>MAX(MIN(J62*F62,H62),0)</x:f>
        <x:v>128.78050027087374</x:v>
      </x:c>
      <x:c r="L62" s="563" t="n">
        <x:f>MAX(J62-K62,0)</x:f>
        <x:v>239.1637862173369</x:v>
      </x:c>
      <x:c r="M62" s="185" t="n">
        <x:f>MAX('詳細設定'!$D$6,0)*(1+'詳細設定'!$D$21)^(B62-1)</x:f>
        <x:v>36.42114035</x:v>
      </x:c>
      <x:c r="N62" s="185" t="n">
        <x:f>IF(B62&lt;=MAX(MIN('詳細設定'!$D$8,20),0),MAX('詳細設定'!$D$7,0),IF(B62&lt;=MAX(MIN('詳細設定'!$D$10,20),0),MAX('詳細設定'!$D$9,0),MAX('詳細設定'!$D$11,0)))</x:f>
        <x:v>8.3</x:v>
      </x:c>
      <x:c r="O62" s="190" t="n">
        <x:f>K62*M62</x:f>
        <x:v>4690.332674708706</x:v>
      </x:c>
      <x:c r="P62" s="190" t="n">
        <x:f>L62*N62</x:f>
        <x:v>1985.0594256038964</x:v>
      </x:c>
      <x:c r="Q62" s="190" t="n">
        <x:f>O62+P62</x:f>
        <x:v>6675.392100312602</x:v>
      </x:c>
      <x:c r="R62" s="196" t="n">
        <x:f>J62-K62-L62</x:f>
        <x:v>0</x:v>
      </x:c>
    </x:row>
    <x:row r="63">
      <x:c r="A63" s="20" t="str">
        <x:v>慎重</x:v>
      </x:c>
      <x:c r="B63" s="20" t="n">
        <x:v>5</x:v>
      </x:c>
      <x:c r="C63" s="20" t="n">
        <x:v>11</x:v>
      </x:c>
      <x:c r="D63" s="189" t="n">
        <x:v>0.9</x:v>
      </x:c>
      <x:c r="E63" s="189" t="n">
        <x:v>1.1</x:v>
      </x:c>
      <x:c r="F63" s="189" t="n">
        <x:f>MAX(MIN('詳細設定'!$D$15+-0.05,1),0)</x:f>
        <x:v>0.35000000000000003</x:v>
      </x:c>
      <x:c r="G63" s="563" t="n">
        <x:f>'_計算月次'!$J$15</x:f>
        <x:v>398.45169764745054</x:v>
      </x:c>
      <x:c r="H63" s="563" t="n">
        <x:f>'_計算月次'!$K$15</x:f>
        <x:v>360</x:v>
      </x:c>
      <x:c r="I63" s="563" t="n">
        <x:f>(1-MAX(MIN('詳細設定'!$D$16,0.999999),0))^(B63-1)</x:f>
        <x:v>1</x:v>
      </x:c>
      <x:c r="J63" s="563" t="n">
        <x:f>MAX(G63*D63*I63,0)</x:f>
        <x:v>358.6065278827055</x:v>
      </x:c>
      <x:c r="K63" s="563" t="n">
        <x:f>MAX(MIN(J63*F63,H63),0)</x:f>
        <x:v>125.51228475894693</x:v>
      </x:c>
      <x:c r="L63" s="563" t="n">
        <x:f>MAX(J63-K63,0)</x:f>
        <x:v>233.0942431237586</x:v>
      </x:c>
      <x:c r="M63" s="185" t="n">
        <x:f>MAX('詳細設定'!$D$6,0)*(1+'詳細設定'!$D$21)^(B63-1)</x:f>
        <x:v>36.42114035</x:v>
      </x:c>
      <x:c r="N63" s="185" t="n">
        <x:f>IF(B63&lt;=MAX(MIN('詳細設定'!$D$8,20),0),MAX('詳細設定'!$D$7,0),IF(B63&lt;=MAX(MIN('詳細設定'!$D$10,20),0),MAX('詳細設定'!$D$9,0),MAX('詳細設定'!$D$11,0)))</x:f>
        <x:v>8.3</x:v>
      </x:c>
      <x:c r="O63" s="190" t="n">
        <x:f>K63*M63</x:f>
        <x:v>4571.300538854773</x:v>
      </x:c>
      <x:c r="P63" s="190" t="n">
        <x:f>L63*N63</x:f>
        <x:v>1934.6822179271965</x:v>
      </x:c>
      <x:c r="Q63" s="190" t="n">
        <x:f>O63+P63</x:f>
        <x:v>6505.982756781969</x:v>
      </x:c>
      <x:c r="R63" s="196" t="n">
        <x:f>J63-K63-L63</x:f>
        <x:v>0</x:v>
      </x:c>
    </x:row>
    <x:row r="64">
      <x:c r="A64" s="20" t="str">
        <x:v>慎重</x:v>
      </x:c>
      <x:c r="B64" s="20" t="n">
        <x:v>5</x:v>
      </x:c>
      <x:c r="C64" s="20" t="n">
        <x:v>12</x:v>
      </x:c>
      <x:c r="D64" s="189" t="n">
        <x:v>0.9</x:v>
      </x:c>
      <x:c r="E64" s="189" t="n">
        <x:v>1.1</x:v>
      </x:c>
      <x:c r="F64" s="189" t="n">
        <x:f>MAX(MIN('詳細設定'!$D$15+-0.05,1),0)</x:f>
        <x:v>0.35000000000000003</x:v>
      </x:c>
      <x:c r="G64" s="563" t="n">
        <x:f>'_計算月次'!$J$16</x:f>
        <x:v>443.97248688000184</x:v>
      </x:c>
      <x:c r="H64" s="563" t="n">
        <x:f>'_計算月次'!$K$16</x:f>
        <x:v>405</x:v>
      </x:c>
      <x:c r="I64" s="563" t="n">
        <x:f>(1-MAX(MIN('詳細設定'!$D$16,0.999999),0))^(B64-1)</x:f>
        <x:v>1</x:v>
      </x:c>
      <x:c r="J64" s="563" t="n">
        <x:f>MAX(G64*D64*I64,0)</x:f>
        <x:v>399.5752381920017</x:v>
      </x:c>
      <x:c r="K64" s="563" t="n">
        <x:f>MAX(MIN(J64*F64,H64),0)</x:f>
        <x:v>139.8513333672006</x:v>
      </x:c>
      <x:c r="L64" s="563" t="n">
        <x:f>MAX(J64-K64,0)</x:f>
        <x:v>259.7239048248011</x:v>
      </x:c>
      <x:c r="M64" s="185" t="n">
        <x:f>MAX('詳細設定'!$D$6,0)*(1+'詳細設定'!$D$21)^(B64-1)</x:f>
        <x:v>36.42114035</x:v>
      </x:c>
      <x:c r="N64" s="185" t="n">
        <x:f>IF(B64&lt;=MAX(MIN('詳細設定'!$D$8,20),0),MAX('詳細設定'!$D$7,0),IF(B64&lt;=MAX(MIN('詳細設定'!$D$10,20),0),MAX('詳細設定'!$D$9,0),MAX('詳細設定'!$D$11,0)))</x:f>
        <x:v>8.3</x:v>
      </x:c>
      <x:c r="O64" s="190" t="n">
        <x:f>K64*M64</x:f>
        <x:v>5093.545040701451</x:v>
      </x:c>
      <x:c r="P64" s="190" t="n">
        <x:f>L64*N64</x:f>
        <x:v>2155.708410045849</x:v>
      </x:c>
      <x:c r="Q64" s="190" t="n">
        <x:f>O64+P64</x:f>
        <x:v>7249.253450747301</x:v>
      </x:c>
      <x:c r="R64" s="196" t="n">
        <x:f>J64-K64-L64</x:f>
        <x:v>0</x:v>
      </x:c>
    </x:row>
    <x:row r="65">
      <x:c r="A65" s="20" t="str">
        <x:v>慎重</x:v>
      </x:c>
      <x:c r="B65" s="20" t="n">
        <x:v>6</x:v>
      </x:c>
      <x:c r="C65" s="20" t="n">
        <x:v>1</x:v>
      </x:c>
      <x:c r="D65" s="189" t="n">
        <x:v>0.9</x:v>
      </x:c>
      <x:c r="E65" s="189" t="n">
        <x:v>1.1</x:v>
      </x:c>
      <x:c r="F65" s="189" t="n">
        <x:f>MAX(MIN('詳細設定'!$D$15+-0.05,1),0)</x:f>
        <x:v>0.35000000000000003</x:v>
      </x:c>
      <x:c r="G65" s="563" t="n">
        <x:f>'_計算月次'!$J$5</x:f>
        <x:v>502.4147595742038</x:v>
      </x:c>
      <x:c r="H65" s="563" t="n">
        <x:f>'_計算月次'!$K$5</x:f>
        <x:v>450</x:v>
      </x:c>
      <x:c r="I65" s="563" t="n">
        <x:f>(1-MAX(MIN('詳細設定'!$D$16,0.999999),0))^(B65-1)</x:f>
        <x:v>1</x:v>
      </x:c>
      <x:c r="J65" s="563" t="n">
        <x:f>MAX(G65*D65*I65,0)</x:f>
        <x:v>452.1732836167834</x:v>
      </x:c>
      <x:c r="K65" s="563" t="n">
        <x:f>MAX(MIN(J65*F65,H65),0)</x:f>
        <x:v>158.2606492658742</x:v>
      </x:c>
      <x:c r="L65" s="563" t="n">
        <x:f>MAX(J65-K65,0)</x:f>
        <x:v>293.91263435090923</x:v>
      </x:c>
      <x:c r="M65" s="185" t="n">
        <x:f>MAX('詳細設定'!$D$6,0)*(1+'詳細設定'!$D$21)^(B65-1)</x:f>
        <x:v>36.7853517535</x:v>
      </x:c>
      <x:c r="N65" s="185" t="n">
        <x:f>IF(B65&lt;=MAX(MIN('詳細設定'!$D$8,20),0),MAX('詳細設定'!$D$7,0),IF(B65&lt;=MAX(MIN('詳細設定'!$D$10,20),0),MAX('詳細設定'!$D$9,0),MAX('詳細設定'!$D$11,0)))</x:f>
        <x:v>8.3</x:v>
      </x:c>
      <x:c r="O65" s="190" t="n">
        <x:f>K65*M65</x:f>
        <x:v>5821.673651982474</x:v>
      </x:c>
      <x:c r="P65" s="190" t="n">
        <x:f>L65*N65</x:f>
        <x:v>2439.474865112547</x:v>
      </x:c>
      <x:c r="Q65" s="190" t="n">
        <x:f>O65+P65</x:f>
        <x:v>8261.148517095022</x:v>
      </x:c>
      <x:c r="R65" s="196" t="n">
        <x:f>J65-K65-L65</x:f>
        <x:v>0</x:v>
      </x:c>
    </x:row>
    <x:row r="66">
      <x:c r="A66" s="20" t="str">
        <x:v>慎重</x:v>
      </x:c>
      <x:c r="B66" s="20" t="n">
        <x:v>6</x:v>
      </x:c>
      <x:c r="C66" s="20" t="n">
        <x:v>2</x:v>
      </x:c>
      <x:c r="D66" s="189" t="n">
        <x:v>0.9</x:v>
      </x:c>
      <x:c r="E66" s="189" t="n">
        <x:v>1.1</x:v>
      </x:c>
      <x:c r="F66" s="189" t="n">
        <x:f>MAX(MIN('詳細設定'!$D$15+-0.05,1),0)</x:f>
        <x:v>0.35000000000000003</x:v>
      </x:c>
      <x:c r="G66" s="563" t="n">
        <x:f>'_計算月次'!$J$6</x:f>
        <x:v>472.4508339500229</x:v>
      </x:c>
      <x:c r="H66" s="563" t="n">
        <x:f>'_計算月次'!$K$6</x:f>
        <x:v>405</x:v>
      </x:c>
      <x:c r="I66" s="563" t="n">
        <x:f>(1-MAX(MIN('詳細設定'!$D$16,0.999999),0))^(B66-1)</x:f>
        <x:v>1</x:v>
      </x:c>
      <x:c r="J66" s="563" t="n">
        <x:f>MAX(G66*D66*I66,0)</x:f>
        <x:v>425.20575055502064</x:v>
      </x:c>
      <x:c r="K66" s="563" t="n">
        <x:f>MAX(MIN(J66*F66,H66),0)</x:f>
        <x:v>148.82201269425724</x:v>
      </x:c>
      <x:c r="L66" s="563" t="n">
        <x:f>MAX(J66-K66,0)</x:f>
        <x:v>276.3837378607634</x:v>
      </x:c>
      <x:c r="M66" s="185" t="n">
        <x:f>MAX('詳細設定'!$D$6,0)*(1+'詳細設定'!$D$21)^(B66-1)</x:f>
        <x:v>36.7853517535</x:v>
      </x:c>
      <x:c r="N66" s="185" t="n">
        <x:f>IF(B66&lt;=MAX(MIN('詳細設定'!$D$8,20),0),MAX('詳細設定'!$D$7,0),IF(B66&lt;=MAX(MIN('詳細設定'!$D$10,20),0),MAX('詳細設定'!$D$9,0),MAX('詳細設定'!$D$11,0)))</x:f>
        <x:v>8.3</x:v>
      </x:c>
      <x:c r="O66" s="190" t="n">
        <x:f>K66*M66</x:f>
        <x:v>5474.470085622095</x:v>
      </x:c>
      <x:c r="P66" s="190" t="n">
        <x:f>L66*N66</x:f>
        <x:v>2293.9850242443363</x:v>
      </x:c>
      <x:c r="Q66" s="190" t="n">
        <x:f>O66+P66</x:f>
        <x:v>7768.4551098664315</x:v>
      </x:c>
      <x:c r="R66" s="196" t="n">
        <x:f>J66-K66-L66</x:f>
        <x:v>0</x:v>
      </x:c>
    </x:row>
    <x:row r="67">
      <x:c r="A67" s="20" t="str">
        <x:v>慎重</x:v>
      </x:c>
      <x:c r="B67" s="20" t="n">
        <x:v>6</x:v>
      </x:c>
      <x:c r="C67" s="20" t="n">
        <x:v>3</x:v>
      </x:c>
      <x:c r="D67" s="189" t="n">
        <x:v>0.9</x:v>
      </x:c>
      <x:c r="E67" s="189" t="n">
        <x:v>1.1</x:v>
      </x:c>
      <x:c r="F67" s="189" t="n">
        <x:f>MAX(MIN('詳細設定'!$D$15+-0.05,1),0)</x:f>
        <x:v>0.35000000000000003</x:v>
      </x:c>
      <x:c r="G67" s="563" t="n">
        <x:f>'_計算月次'!$J$7</x:f>
        <x:v>548.3418864753118</x:v>
      </x:c>
      <x:c r="H67" s="563" t="n">
        <x:f>'_計算月次'!$K$7</x:f>
        <x:v>360</x:v>
      </x:c>
      <x:c r="I67" s="563" t="n">
        <x:f>(1-MAX(MIN('詳細設定'!$D$16,0.999999),0))^(B67-1)</x:f>
        <x:v>1</x:v>
      </x:c>
      <x:c r="J67" s="563" t="n">
        <x:f>MAX(G67*D67*I67,0)</x:f>
        <x:v>493.5076978277806</x:v>
      </x:c>
      <x:c r="K67" s="563" t="n">
        <x:f>MAX(MIN(J67*F67,H67),0)</x:f>
        <x:v>172.72769423972323</x:v>
      </x:c>
      <x:c r="L67" s="563" t="n">
        <x:f>MAX(J67-K67,0)</x:f>
        <x:v>320.78000358805735</x:v>
      </x:c>
      <x:c r="M67" s="185" t="n">
        <x:f>MAX('詳細設定'!$D$6,0)*(1+'詳細設定'!$D$21)^(B67-1)</x:f>
        <x:v>36.7853517535</x:v>
      </x:c>
      <x:c r="N67" s="185" t="n">
        <x:f>IF(B67&lt;=MAX(MIN('詳細設定'!$D$8,20),0),MAX('詳細設定'!$D$7,0),IF(B67&lt;=MAX(MIN('詳細設定'!$D$10,20),0),MAX('詳細設定'!$D$9,0),MAX('詳細設定'!$D$11,0)))</x:f>
        <x:v>8.3</x:v>
      </x:c>
      <x:c r="O67" s="190" t="n">
        <x:f>K67*M67</x:f>
        <x:v>6353.848990179215</x:v>
      </x:c>
      <x:c r="P67" s="190" t="n">
        <x:f>L67*N67</x:f>
        <x:v>2662.474029780876</x:v>
      </x:c>
      <x:c r="Q67" s="190" t="n">
        <x:f>O67+P67</x:f>
        <x:v>9016.323019960091</x:v>
      </x:c>
      <x:c r="R67" s="196" t="n">
        <x:f>J67-K67-L67</x:f>
        <x:v>0</x:v>
      </x:c>
    </x:row>
    <x:row r="68">
      <x:c r="A68" s="20" t="str">
        <x:v>慎重</x:v>
      </x:c>
      <x:c r="B68" s="20" t="n">
        <x:v>6</x:v>
      </x:c>
      <x:c r="C68" s="20" t="n">
        <x:v>4</x:v>
      </x:c>
      <x:c r="D68" s="189" t="n">
        <x:v>0.9</x:v>
      </x:c>
      <x:c r="E68" s="189" t="n">
        <x:v>1.1</x:v>
      </x:c>
      <x:c r="F68" s="189" t="n">
        <x:f>MAX(MIN('詳細設定'!$D$15+-0.05,1),0)</x:f>
        <x:v>0.35000000000000003</x:v>
      </x:c>
      <x:c r="G68" s="563" t="n">
        <x:f>'_計算月次'!$J$8</x:f>
        <x:v>548.3944393749554</x:v>
      </x:c>
      <x:c r="H68" s="563" t="n">
        <x:f>'_計算月次'!$K$8</x:f>
        <x:v>315.00000000000006</x:v>
      </x:c>
      <x:c r="I68" s="563" t="n">
        <x:f>(1-MAX(MIN('詳細設定'!$D$16,0.999999),0))^(B68-1)</x:f>
        <x:v>1</x:v>
      </x:c>
      <x:c r="J68" s="563" t="n">
        <x:f>MAX(G68*D68*I68,0)</x:f>
        <x:v>493.55499543745987</x:v>
      </x:c>
      <x:c r="K68" s="563" t="n">
        <x:f>MAX(MIN(J68*F68,H68),0)</x:f>
        <x:v>172.74424840311096</x:v>
      </x:c>
      <x:c r="L68" s="563" t="n">
        <x:f>MAX(J68-K68,0)</x:f>
        <x:v>320.8107470343489</x:v>
      </x:c>
      <x:c r="M68" s="185" t="n">
        <x:f>MAX('詳細設定'!$D$6,0)*(1+'詳細設定'!$D$21)^(B68-1)</x:f>
        <x:v>36.7853517535</x:v>
      </x:c>
      <x:c r="N68" s="185" t="n">
        <x:f>IF(B68&lt;=MAX(MIN('詳細設定'!$D$8,20),0),MAX('詳細設定'!$D$7,0),IF(B68&lt;=MAX(MIN('詳細設定'!$D$10,20),0),MAX('詳細設定'!$D$9,0),MAX('詳細設定'!$D$11,0)))</x:f>
        <x:v>8.3</x:v>
      </x:c>
      <x:c r="O68" s="190" t="n">
        <x:f>K68*M68</x:f>
        <x:v>6354.457940902417</x:v>
      </x:c>
      <x:c r="P68" s="190" t="n">
        <x:f>L68*N68</x:f>
        <x:v>2662.7292003850957</x:v>
      </x:c>
      <x:c r="Q68" s="190" t="n">
        <x:f>O68+P68</x:f>
        <x:v>9017.187141287513</x:v>
      </x:c>
      <x:c r="R68" s="196" t="n">
        <x:f>J68-K68-L68</x:f>
        <x:v>0</x:v>
      </x:c>
    </x:row>
    <x:row r="69">
      <x:c r="A69" s="20" t="str">
        <x:v>慎重</x:v>
      </x:c>
      <x:c r="B69" s="20" t="n">
        <x:v>6</x:v>
      </x:c>
      <x:c r="C69" s="20" t="n">
        <x:v>5</x:v>
      </x:c>
      <x:c r="D69" s="189" t="n">
        <x:v>0.9</x:v>
      </x:c>
      <x:c r="E69" s="189" t="n">
        <x:v>1.1</x:v>
      </x:c>
      <x:c r="F69" s="189" t="n">
        <x:f>MAX(MIN('詳細設定'!$D$15+-0.05,1),0)</x:f>
        <x:v>0.35000000000000003</x:v>
      </x:c>
      <x:c r="G69" s="563" t="n">
        <x:f>'_計算月次'!$J$9</x:f>
        <x:v>552.2367574934775</x:v>
      </x:c>
      <x:c r="H69" s="563" t="n">
        <x:f>'_計算月次'!$K$9</x:f>
        <x:v>315.00000000000006</x:v>
      </x:c>
      <x:c r="I69" s="563" t="n">
        <x:f>(1-MAX(MIN('詳細設定'!$D$16,0.999999),0))^(B69-1)</x:f>
        <x:v>1</x:v>
      </x:c>
      <x:c r="J69" s="563" t="n">
        <x:f>MAX(G69*D69*I69,0)</x:f>
        <x:v>497.01308174412975</x:v>
      </x:c>
      <x:c r="K69" s="563" t="n">
        <x:f>MAX(MIN(J69*F69,H69),0)</x:f>
        <x:v>173.95457861044542</x:v>
      </x:c>
      <x:c r="L69" s="563" t="n">
        <x:f>MAX(J69-K69,0)</x:f>
        <x:v>323.0585031336843</x:v>
      </x:c>
      <x:c r="M69" s="185" t="n">
        <x:f>MAX('詳細設定'!$D$6,0)*(1+'詳細設定'!$D$21)^(B69-1)</x:f>
        <x:v>36.7853517535</x:v>
      </x:c>
      <x:c r="N69" s="185" t="n">
        <x:f>IF(B69&lt;=MAX(MIN('詳細設定'!$D$8,20),0),MAX('詳細設定'!$D$7,0),IF(B69&lt;=MAX(MIN('詳細設定'!$D$10,20),0),MAX('詳細設定'!$D$9,0),MAX('詳細設定'!$D$11,0)))</x:f>
        <x:v>8.3</x:v>
      </x:c>
      <x:c r="O69" s="190" t="n">
        <x:f>K69*M69</x:f>
        <x:v>6398.980363317102</x:v>
      </x:c>
      <x:c r="P69" s="190" t="n">
        <x:f>L69*N69</x:f>
        <x:v>2681.3855760095803</x:v>
      </x:c>
      <x:c r="Q69" s="190" t="n">
        <x:f>O69+P69</x:f>
        <x:v>9080.365939326683</x:v>
      </x:c>
      <x:c r="R69" s="196" t="n">
        <x:f>J69-K69-L69</x:f>
        <x:v>0</x:v>
      </x:c>
    </x:row>
    <x:row r="70">
      <x:c r="A70" s="20" t="str">
        <x:v>慎重</x:v>
      </x:c>
      <x:c r="B70" s="20" t="n">
        <x:v>6</x:v>
      </x:c>
      <x:c r="C70" s="20" t="n">
        <x:v>6</x:v>
      </x:c>
      <x:c r="D70" s="189" t="n">
        <x:v>0.9</x:v>
      </x:c>
      <x:c r="E70" s="189" t="n">
        <x:v>1.1</x:v>
      </x:c>
      <x:c r="F70" s="189" t="n">
        <x:f>MAX(MIN('詳細設定'!$D$15+-0.05,1),0)</x:f>
        <x:v>0.35000000000000003</x:v>
      </x:c>
      <x:c r="G70" s="563" t="n">
        <x:f>'_計算月次'!$J$10</x:f>
        <x:v>448.7994857612148</x:v>
      </x:c>
      <x:c r="H70" s="563" t="n">
        <x:f>'_計算月次'!$K$10</x:f>
        <x:v>360</x:v>
      </x:c>
      <x:c r="I70" s="563" t="n">
        <x:f>(1-MAX(MIN('詳細設定'!$D$16,0.999999),0))^(B70-1)</x:f>
        <x:v>1</x:v>
      </x:c>
      <x:c r="J70" s="563" t="n">
        <x:f>MAX(G70*D70*I70,0)</x:f>
        <x:v>403.9195371850933</x:v>
      </x:c>
      <x:c r="K70" s="563" t="n">
        <x:f>MAX(MIN(J70*F70,H70),0)</x:f>
        <x:v>141.37183801478267</x:v>
      </x:c>
      <x:c r="L70" s="563" t="n">
        <x:f>MAX(J70-K70,0)</x:f>
        <x:v>262.54769917031064</x:v>
      </x:c>
      <x:c r="M70" s="185" t="n">
        <x:f>MAX('詳細設定'!$D$6,0)*(1+'詳細設定'!$D$21)^(B70-1)</x:f>
        <x:v>36.7853517535</x:v>
      </x:c>
      <x:c r="N70" s="185" t="n">
        <x:f>IF(B70&lt;=MAX(MIN('詳細設定'!$D$8,20),0),MAX('詳細設定'!$D$7,0),IF(B70&lt;=MAX(MIN('詳細設定'!$D$10,20),0),MAX('詳細設定'!$D$9,0),MAX('詳細設定'!$D$11,0)))</x:f>
        <x:v>8.3</x:v>
      </x:c>
      <x:c r="O70" s="190" t="n">
        <x:f>K70*M70</x:f>
        <x:v>5200.412789412604</x:v>
      </x:c>
      <x:c r="P70" s="190" t="n">
        <x:f>L70*N70</x:f>
        <x:v>2179.1459031135782</x:v>
      </x:c>
      <x:c r="Q70" s="190" t="n">
        <x:f>O70+P70</x:f>
        <x:v>7379.558692526182</x:v>
      </x:c>
      <x:c r="R70" s="196" t="n">
        <x:f>J70-K70-L70</x:f>
        <x:v>0</x:v>
      </x:c>
    </x:row>
    <x:row r="71">
      <x:c r="A71" s="20" t="str">
        <x:v>慎重</x:v>
      </x:c>
      <x:c r="B71" s="20" t="n">
        <x:v>6</x:v>
      </x:c>
      <x:c r="C71" s="20" t="n">
        <x:v>7</x:v>
      </x:c>
      <x:c r="D71" s="189" t="n">
        <x:v>0.9</x:v>
      </x:c>
      <x:c r="E71" s="189" t="n">
        <x:v>1.1</x:v>
      </x:c>
      <x:c r="F71" s="189" t="n">
        <x:f>MAX(MIN('詳細設定'!$D$15+-0.05,1),0)</x:f>
        <x:v>0.35000000000000003</x:v>
      </x:c>
      <x:c r="G71" s="563" t="n">
        <x:f>'_計算月次'!$J$11</x:f>
        <x:v>476.0181638067866</x:v>
      </x:c>
      <x:c r="H71" s="563" t="n">
        <x:f>'_計算月次'!$K$11</x:f>
        <x:v>405</x:v>
      </x:c>
      <x:c r="I71" s="563" t="n">
        <x:f>(1-MAX(MIN('詳細設定'!$D$16,0.999999),0))^(B71-1)</x:f>
        <x:v>1</x:v>
      </x:c>
      <x:c r="J71" s="563" t="n">
        <x:f>MAX(G71*D71*I71,0)</x:f>
        <x:v>428.41634742610796</x:v>
      </x:c>
      <x:c r="K71" s="563" t="n">
        <x:f>MAX(MIN(J71*F71,H71),0)</x:f>
        <x:v>149.9457215991378</x:v>
      </x:c>
      <x:c r="L71" s="563" t="n">
        <x:f>MAX(J71-K71,0)</x:f>
        <x:v>278.47062582697015</x:v>
      </x:c>
      <x:c r="M71" s="185" t="n">
        <x:f>MAX('詳細設定'!$D$6,0)*(1+'詳細設定'!$D$21)^(B71-1)</x:f>
        <x:v>36.7853517535</x:v>
      </x:c>
      <x:c r="N71" s="185" t="n">
        <x:f>IF(B71&lt;=MAX(MIN('詳細設定'!$D$8,20),0),MAX('詳細設定'!$D$7,0),IF(B71&lt;=MAX(MIN('詳細設定'!$D$10,20),0),MAX('詳細設定'!$D$9,0),MAX('詳細設定'!$D$11,0)))</x:f>
        <x:v>8.3</x:v>
      </x:c>
      <x:c r="O71" s="190" t="n">
        <x:f>K71*M71</x:f>
        <x:v>5515.806112956668</x:v>
      </x:c>
      <x:c r="P71" s="190" t="n">
        <x:f>L71*N71</x:f>
        <x:v>2311.3061943638522</x:v>
      </x:c>
      <x:c r="Q71" s="190" t="n">
        <x:f>O71+P71</x:f>
        <x:v>7827.11230732052</x:v>
      </x:c>
      <x:c r="R71" s="196" t="n">
        <x:f>J71-K71-L71</x:f>
        <x:v>0</x:v>
      </x:c>
    </x:row>
    <x:row r="72">
      <x:c r="A72" s="20" t="str">
        <x:v>慎重</x:v>
      </x:c>
      <x:c r="B72" s="20" t="n">
        <x:v>6</x:v>
      </x:c>
      <x:c r="C72" s="20" t="n">
        <x:v>8</x:v>
      </x:c>
      <x:c r="D72" s="189" t="n">
        <x:v>0.9</x:v>
      </x:c>
      <x:c r="E72" s="189" t="n">
        <x:v>1.1</x:v>
      </x:c>
      <x:c r="F72" s="189" t="n">
        <x:f>MAX(MIN('詳細設定'!$D$15+-0.05,1),0)</x:f>
        <x:v>0.35000000000000003</x:v>
      </x:c>
      <x:c r="G72" s="563" t="n">
        <x:f>'_計算月次'!$J$12</x:f>
        <x:v>528.6548067323699</x:v>
      </x:c>
      <x:c r="H72" s="563" t="n">
        <x:f>'_計算月次'!$K$12</x:f>
        <x:v>450</x:v>
      </x:c>
      <x:c r="I72" s="563" t="n">
        <x:f>(1-MAX(MIN('詳細設定'!$D$16,0.999999),0))^(B72-1)</x:f>
        <x:v>1</x:v>
      </x:c>
      <x:c r="J72" s="563" t="n">
        <x:f>MAX(G72*D72*I72,0)</x:f>
        <x:v>475.789326059133</x:v>
      </x:c>
      <x:c r="K72" s="563" t="n">
        <x:f>MAX(MIN(J72*F72,H72),0)</x:f>
        <x:v>166.52626412069657</x:v>
      </x:c>
      <x:c r="L72" s="563" t="n">
        <x:f>MAX(J72-K72,0)</x:f>
        <x:v>309.2630619384364</x:v>
      </x:c>
      <x:c r="M72" s="185" t="n">
        <x:f>MAX('詳細設定'!$D$6,0)*(1+'詳細設定'!$D$21)^(B72-1)</x:f>
        <x:v>36.7853517535</x:v>
      </x:c>
      <x:c r="N72" s="185" t="n">
        <x:f>IF(B72&lt;=MAX(MIN('詳細設定'!$D$8,20),0),MAX('詳細設定'!$D$7,0),IF(B72&lt;=MAX(MIN('詳細設定'!$D$10,20),0),MAX('詳細設定'!$D$9,0),MAX('詳細設定'!$D$11,0)))</x:f>
        <x:v>8.3</x:v>
      </x:c>
      <x:c r="O72" s="190" t="n">
        <x:f>K72*M72</x:f>
        <x:v>6125.72720187607</x:v>
      </x:c>
      <x:c r="P72" s="190" t="n">
        <x:f>L72*N72</x:f>
        <x:v>2566.8834140890226</x:v>
      </x:c>
      <x:c r="Q72" s="190" t="n">
        <x:f>O72+P72</x:f>
        <x:v>8692.610615965092</x:v>
      </x:c>
      <x:c r="R72" s="196" t="n">
        <x:f>J72-K72-L72</x:f>
        <x:v>0</x:v>
      </x:c>
    </x:row>
    <x:row r="73">
      <x:c r="A73" s="20" t="str">
        <x:v>慎重</x:v>
      </x:c>
      <x:c r="B73" s="20" t="n">
        <x:v>6</x:v>
      </x:c>
      <x:c r="C73" s="20" t="n">
        <x:v>9</x:v>
      </x:c>
      <x:c r="D73" s="189" t="n">
        <x:v>0.9</x:v>
      </x:c>
      <x:c r="E73" s="189" t="n">
        <x:v>1.1</x:v>
      </x:c>
      <x:c r="F73" s="189" t="n">
        <x:f>MAX(MIN('詳細設定'!$D$15+-0.05,1),0)</x:f>
        <x:v>0.35000000000000003</x:v>
      </x:c>
      <x:c r="G73" s="563" t="n">
        <x:f>'_計算月次'!$J$13</x:f>
        <x:v>436.37734765103465</x:v>
      </x:c>
      <x:c r="H73" s="563" t="n">
        <x:f>'_計算月次'!$K$13</x:f>
        <x:v>360</x:v>
      </x:c>
      <x:c r="I73" s="563" t="n">
        <x:f>(1-MAX(MIN('詳細設定'!$D$16,0.999999),0))^(B73-1)</x:f>
        <x:v>1</x:v>
      </x:c>
      <x:c r="J73" s="563" t="n">
        <x:f>MAX(G73*D73*I73,0)</x:f>
        <x:v>392.7396128859312</x:v>
      </x:c>
      <x:c r="K73" s="563" t="n">
        <x:f>MAX(MIN(J73*F73,H73),0)</x:f>
        <x:v>137.45886451007593</x:v>
      </x:c>
      <x:c r="L73" s="563" t="n">
        <x:f>MAX(J73-K73,0)</x:f>
        <x:v>255.28074837585527</x:v>
      </x:c>
      <x:c r="M73" s="185" t="n">
        <x:f>MAX('詳細設定'!$D$6,0)*(1+'詳細設定'!$D$21)^(B73-1)</x:f>
        <x:v>36.7853517535</x:v>
      </x:c>
      <x:c r="N73" s="185" t="n">
        <x:f>IF(B73&lt;=MAX(MIN('詳細設定'!$D$8,20),0),MAX('詳細設定'!$D$7,0),IF(B73&lt;=MAX(MIN('詳細設定'!$D$10,20),0),MAX('詳細設定'!$D$9,0),MAX('詳細設定'!$D$11,0)))</x:f>
        <x:v>8.3</x:v>
      </x:c>
      <x:c r="O73" s="190" t="n">
        <x:f>K73*M73</x:f>
        <x:v>5056.472682639841</x:v>
      </x:c>
      <x:c r="P73" s="190" t="n">
        <x:f>L73*N73</x:f>
        <x:v>2118.830211519599</x:v>
      </x:c>
      <x:c r="Q73" s="190" t="n">
        <x:f>O73+P73</x:f>
        <x:v>7175.30289415944</x:v>
      </x:c>
      <x:c r="R73" s="196" t="n">
        <x:f>J73-K73-L73</x:f>
        <x:v>0</x:v>
      </x:c>
    </x:row>
    <x:row r="74">
      <x:c r="A74" s="20" t="str">
        <x:v>慎重</x:v>
      </x:c>
      <x:c r="B74" s="20" t="n">
        <x:v>6</x:v>
      </x:c>
      <x:c r="C74" s="20" t="n">
        <x:v>10</x:v>
      </x:c>
      <x:c r="D74" s="189" t="n">
        <x:v>0.9</x:v>
      </x:c>
      <x:c r="E74" s="189" t="n">
        <x:v>1.1</x:v>
      </x:c>
      <x:c r="F74" s="189" t="n">
        <x:f>MAX(MIN('詳細設定'!$D$15+-0.05,1),0)</x:f>
        <x:v>0.35000000000000003</x:v>
      </x:c>
      <x:c r="G74" s="563" t="n">
        <x:f>'_計算月次'!$J$14</x:f>
        <x:v>408.8269849869007</x:v>
      </x:c>
      <x:c r="H74" s="563" t="n">
        <x:f>'_計算月次'!$K$14</x:f>
        <x:v>315.00000000000006</x:v>
      </x:c>
      <x:c r="I74" s="563" t="n">
        <x:f>(1-MAX(MIN('詳細設定'!$D$16,0.999999),0))^(B74-1)</x:f>
        <x:v>1</x:v>
      </x:c>
      <x:c r="J74" s="563" t="n">
        <x:f>MAX(G74*D74*I74,0)</x:f>
        <x:v>367.94428648821065</x:v>
      </x:c>
      <x:c r="K74" s="563" t="n">
        <x:f>MAX(MIN(J74*F74,H74),0)</x:f>
        <x:v>128.78050027087374</x:v>
      </x:c>
      <x:c r="L74" s="563" t="n">
        <x:f>MAX(J74-K74,0)</x:f>
        <x:v>239.1637862173369</x:v>
      </x:c>
      <x:c r="M74" s="185" t="n">
        <x:f>MAX('詳細設定'!$D$6,0)*(1+'詳細設定'!$D$21)^(B74-1)</x:f>
        <x:v>36.7853517535</x:v>
      </x:c>
      <x:c r="N74" s="185" t="n">
        <x:f>IF(B74&lt;=MAX(MIN('詳細設定'!$D$8,20),0),MAX('詳細設定'!$D$7,0),IF(B74&lt;=MAX(MIN('詳細設定'!$D$10,20),0),MAX('詳細設定'!$D$9,0),MAX('詳細設定'!$D$11,0)))</x:f>
        <x:v>8.3</x:v>
      </x:c>
      <x:c r="O74" s="190" t="n">
        <x:f>K74*M74</x:f>
        <x:v>4737.236001455793</x:v>
      </x:c>
      <x:c r="P74" s="190" t="n">
        <x:f>L74*N74</x:f>
        <x:v>1985.0594256038964</x:v>
      </x:c>
      <x:c r="Q74" s="190" t="n">
        <x:f>O74+P74</x:f>
        <x:v>6722.295427059689</x:v>
      </x:c>
      <x:c r="R74" s="196" t="n">
        <x:f>J74-K74-L74</x:f>
        <x:v>0</x:v>
      </x:c>
    </x:row>
    <x:row r="75">
      <x:c r="A75" s="20" t="str">
        <x:v>慎重</x:v>
      </x:c>
      <x:c r="B75" s="20" t="n">
        <x:v>6</x:v>
      </x:c>
      <x:c r="C75" s="20" t="n">
        <x:v>11</x:v>
      </x:c>
      <x:c r="D75" s="189" t="n">
        <x:v>0.9</x:v>
      </x:c>
      <x:c r="E75" s="189" t="n">
        <x:v>1.1</x:v>
      </x:c>
      <x:c r="F75" s="189" t="n">
        <x:f>MAX(MIN('詳細設定'!$D$15+-0.05,1),0)</x:f>
        <x:v>0.35000000000000003</x:v>
      </x:c>
      <x:c r="G75" s="563" t="n">
        <x:f>'_計算月次'!$J$15</x:f>
        <x:v>398.45169764745054</x:v>
      </x:c>
      <x:c r="H75" s="563" t="n">
        <x:f>'_計算月次'!$K$15</x:f>
        <x:v>360</x:v>
      </x:c>
      <x:c r="I75" s="563" t="n">
        <x:f>(1-MAX(MIN('詳細設定'!$D$16,0.999999),0))^(B75-1)</x:f>
        <x:v>1</x:v>
      </x:c>
      <x:c r="J75" s="563" t="n">
        <x:f>MAX(G75*D75*I75,0)</x:f>
        <x:v>358.6065278827055</x:v>
      </x:c>
      <x:c r="K75" s="563" t="n">
        <x:f>MAX(MIN(J75*F75,H75),0)</x:f>
        <x:v>125.51228475894693</x:v>
      </x:c>
      <x:c r="L75" s="563" t="n">
        <x:f>MAX(J75-K75,0)</x:f>
        <x:v>233.0942431237586</x:v>
      </x:c>
      <x:c r="M75" s="185" t="n">
        <x:f>MAX('詳細設定'!$D$6,0)*(1+'詳細設定'!$D$21)^(B75-1)</x:f>
        <x:v>36.7853517535</x:v>
      </x:c>
      <x:c r="N75" s="185" t="n">
        <x:f>IF(B75&lt;=MAX(MIN('詳細設定'!$D$8,20),0),MAX('詳細設定'!$D$7,0),IF(B75&lt;=MAX(MIN('詳細設定'!$D$10,20),0),MAX('詳細設定'!$D$9,0),MAX('詳細設定'!$D$11,0)))</x:f>
        <x:v>8.3</x:v>
      </x:c>
      <x:c r="O75" s="190" t="n">
        <x:f>K75*M75</x:f>
        <x:v>4617.01354424332</x:v>
      </x:c>
      <x:c r="P75" s="190" t="n">
        <x:f>L75*N75</x:f>
        <x:v>1934.6822179271965</x:v>
      </x:c>
      <x:c r="Q75" s="190" t="n">
        <x:f>O75+P75</x:f>
        <x:v>6551.695762170517</x:v>
      </x:c>
      <x:c r="R75" s="196" t="n">
        <x:f>J75-K75-L75</x:f>
        <x:v>0</x:v>
      </x:c>
    </x:row>
    <x:row r="76">
      <x:c r="A76" s="20" t="str">
        <x:v>慎重</x:v>
      </x:c>
      <x:c r="B76" s="20" t="n">
        <x:v>6</x:v>
      </x:c>
      <x:c r="C76" s="20" t="n">
        <x:v>12</x:v>
      </x:c>
      <x:c r="D76" s="189" t="n">
        <x:v>0.9</x:v>
      </x:c>
      <x:c r="E76" s="189" t="n">
        <x:v>1.1</x:v>
      </x:c>
      <x:c r="F76" s="189" t="n">
        <x:f>MAX(MIN('詳細設定'!$D$15+-0.05,1),0)</x:f>
        <x:v>0.35000000000000003</x:v>
      </x:c>
      <x:c r="G76" s="563" t="n">
        <x:f>'_計算月次'!$J$16</x:f>
        <x:v>443.97248688000184</x:v>
      </x:c>
      <x:c r="H76" s="563" t="n">
        <x:f>'_計算月次'!$K$16</x:f>
        <x:v>405</x:v>
      </x:c>
      <x:c r="I76" s="563" t="n">
        <x:f>(1-MAX(MIN('詳細設定'!$D$16,0.999999),0))^(B76-1)</x:f>
        <x:v>1</x:v>
      </x:c>
      <x:c r="J76" s="563" t="n">
        <x:f>MAX(G76*D76*I76,0)</x:f>
        <x:v>399.5752381920017</x:v>
      </x:c>
      <x:c r="K76" s="563" t="n">
        <x:f>MAX(MIN(J76*F76,H76),0)</x:f>
        <x:v>139.8513333672006</x:v>
      </x:c>
      <x:c r="L76" s="563" t="n">
        <x:f>MAX(J76-K76,0)</x:f>
        <x:v>259.7239048248011</x:v>
      </x:c>
      <x:c r="M76" s="185" t="n">
        <x:f>MAX('詳細設定'!$D$6,0)*(1+'詳細設定'!$D$21)^(B76-1)</x:f>
        <x:v>36.7853517535</x:v>
      </x:c>
      <x:c r="N76" s="185" t="n">
        <x:f>IF(B76&lt;=MAX(MIN('詳細設定'!$D$8,20),0),MAX('詳細設定'!$D$7,0),IF(B76&lt;=MAX(MIN('詳細設定'!$D$10,20),0),MAX('詳細設定'!$D$9,0),MAX('詳細設定'!$D$11,0)))</x:f>
        <x:v>8.3</x:v>
      </x:c>
      <x:c r="O76" s="190" t="n">
        <x:f>K76*M76</x:f>
        <x:v>5144.480491108466</x:v>
      </x:c>
      <x:c r="P76" s="190" t="n">
        <x:f>L76*N76</x:f>
        <x:v>2155.708410045849</x:v>
      </x:c>
      <x:c r="Q76" s="190" t="n">
        <x:f>O76+P76</x:f>
        <x:v>7300.188901154315</x:v>
      </x:c>
      <x:c r="R76" s="196" t="n">
        <x:f>J76-K76-L76</x:f>
        <x:v>0</x:v>
      </x:c>
    </x:row>
    <x:row r="77">
      <x:c r="A77" s="20" t="str">
        <x:v>慎重</x:v>
      </x:c>
      <x:c r="B77" s="20" t="n">
        <x:v>7</x:v>
      </x:c>
      <x:c r="C77" s="20" t="n">
        <x:v>1</x:v>
      </x:c>
      <x:c r="D77" s="189" t="n">
        <x:v>0.9</x:v>
      </x:c>
      <x:c r="E77" s="189" t="n">
        <x:v>1.1</x:v>
      </x:c>
      <x:c r="F77" s="189" t="n">
        <x:f>MAX(MIN('詳細設定'!$D$15+-0.05,1),0)</x:f>
        <x:v>0.35000000000000003</x:v>
      </x:c>
      <x:c r="G77" s="563" t="n">
        <x:f>'_計算月次'!$J$5</x:f>
        <x:v>502.4147595742038</x:v>
      </x:c>
      <x:c r="H77" s="563" t="n">
        <x:f>'_計算月次'!$K$5</x:f>
        <x:v>450</x:v>
      </x:c>
      <x:c r="I77" s="563" t="n">
        <x:f>(1-MAX(MIN('詳細設定'!$D$16,0.999999),0))^(B77-1)</x:f>
        <x:v>1</x:v>
      </x:c>
      <x:c r="J77" s="563" t="n">
        <x:f>MAX(G77*D77*I77,0)</x:f>
        <x:v>452.1732836167834</x:v>
      </x:c>
      <x:c r="K77" s="563" t="n">
        <x:f>MAX(MIN(J77*F77,H77),0)</x:f>
        <x:v>158.2606492658742</x:v>
      </x:c>
      <x:c r="L77" s="563" t="n">
        <x:f>MAX(J77-K77,0)</x:f>
        <x:v>293.91263435090923</x:v>
      </x:c>
      <x:c r="M77" s="185" t="n">
        <x:f>MAX('詳細設定'!$D$6,0)*(1+'詳細設定'!$D$21)^(B77-1)</x:f>
        <x:v>37.153205271035006</x:v>
      </x:c>
      <x:c r="N77" s="185" t="n">
        <x:f>IF(B77&lt;=MAX(MIN('詳細設定'!$D$8,20),0),MAX('詳細設定'!$D$7,0),IF(B77&lt;=MAX(MIN('詳細設定'!$D$10,20),0),MAX('詳細設定'!$D$9,0),MAX('詳細設定'!$D$11,0)))</x:f>
        <x:v>8.3</x:v>
      </x:c>
      <x:c r="O77" s="190" t="n">
        <x:f>K77*M77</x:f>
        <x:v>5879.8903885023</x:v>
      </x:c>
      <x:c r="P77" s="190" t="n">
        <x:f>L77*N77</x:f>
        <x:v>2439.474865112547</x:v>
      </x:c>
      <x:c r="Q77" s="190" t="n">
        <x:f>O77+P77</x:f>
        <x:v>8319.365253614847</x:v>
      </x:c>
      <x:c r="R77" s="196" t="n">
        <x:f>J77-K77-L77</x:f>
        <x:v>0</x:v>
      </x:c>
    </x:row>
    <x:row r="78">
      <x:c r="A78" s="20" t="str">
        <x:v>慎重</x:v>
      </x:c>
      <x:c r="B78" s="20" t="n">
        <x:v>7</x:v>
      </x:c>
      <x:c r="C78" s="20" t="n">
        <x:v>2</x:v>
      </x:c>
      <x:c r="D78" s="189" t="n">
        <x:v>0.9</x:v>
      </x:c>
      <x:c r="E78" s="189" t="n">
        <x:v>1.1</x:v>
      </x:c>
      <x:c r="F78" s="189" t="n">
        <x:f>MAX(MIN('詳細設定'!$D$15+-0.05,1),0)</x:f>
        <x:v>0.35000000000000003</x:v>
      </x:c>
      <x:c r="G78" s="563" t="n">
        <x:f>'_計算月次'!$J$6</x:f>
        <x:v>472.4508339500229</x:v>
      </x:c>
      <x:c r="H78" s="563" t="n">
        <x:f>'_計算月次'!$K$6</x:f>
        <x:v>405</x:v>
      </x:c>
      <x:c r="I78" s="563" t="n">
        <x:f>(1-MAX(MIN('詳細設定'!$D$16,0.999999),0))^(B78-1)</x:f>
        <x:v>1</x:v>
      </x:c>
      <x:c r="J78" s="563" t="n">
        <x:f>MAX(G78*D78*I78,0)</x:f>
        <x:v>425.20575055502064</x:v>
      </x:c>
      <x:c r="K78" s="563" t="n">
        <x:f>MAX(MIN(J78*F78,H78),0)</x:f>
        <x:v>148.82201269425724</x:v>
      </x:c>
      <x:c r="L78" s="563" t="n">
        <x:f>MAX(J78-K78,0)</x:f>
        <x:v>276.3837378607634</x:v>
      </x:c>
      <x:c r="M78" s="185" t="n">
        <x:f>MAX('詳細設定'!$D$6,0)*(1+'詳細設定'!$D$21)^(B78-1)</x:f>
        <x:v>37.153205271035006</x:v>
      </x:c>
      <x:c r="N78" s="185" t="n">
        <x:f>IF(B78&lt;=MAX(MIN('詳細設定'!$D$8,20),0),MAX('詳細設定'!$D$7,0),IF(B78&lt;=MAX(MIN('詳細設定'!$D$10,20),0),MAX('詳細設定'!$D$9,0),MAX('詳細設定'!$D$11,0)))</x:f>
        <x:v>8.3</x:v>
      </x:c>
      <x:c r="O78" s="190" t="n">
        <x:f>K78*M78</x:f>
        <x:v>5529.2147864783165</x:v>
      </x:c>
      <x:c r="P78" s="190" t="n">
        <x:f>L78*N78</x:f>
        <x:v>2293.9850242443363</x:v>
      </x:c>
      <x:c r="Q78" s="190" t="n">
        <x:f>O78+P78</x:f>
        <x:v>7823.199810722653</x:v>
      </x:c>
      <x:c r="R78" s="196" t="n">
        <x:f>J78-K78-L78</x:f>
        <x:v>0</x:v>
      </x:c>
    </x:row>
    <x:row r="79">
      <x:c r="A79" s="20" t="str">
        <x:v>慎重</x:v>
      </x:c>
      <x:c r="B79" s="20" t="n">
        <x:v>7</x:v>
      </x:c>
      <x:c r="C79" s="20" t="n">
        <x:v>3</x:v>
      </x:c>
      <x:c r="D79" s="189" t="n">
        <x:v>0.9</x:v>
      </x:c>
      <x:c r="E79" s="189" t="n">
        <x:v>1.1</x:v>
      </x:c>
      <x:c r="F79" s="189" t="n">
        <x:f>MAX(MIN('詳細設定'!$D$15+-0.05,1),0)</x:f>
        <x:v>0.35000000000000003</x:v>
      </x:c>
      <x:c r="G79" s="563" t="n">
        <x:f>'_計算月次'!$J$7</x:f>
        <x:v>548.3418864753118</x:v>
      </x:c>
      <x:c r="H79" s="563" t="n">
        <x:f>'_計算月次'!$K$7</x:f>
        <x:v>360</x:v>
      </x:c>
      <x:c r="I79" s="563" t="n">
        <x:f>(1-MAX(MIN('詳細設定'!$D$16,0.999999),0))^(B79-1)</x:f>
        <x:v>1</x:v>
      </x:c>
      <x:c r="J79" s="563" t="n">
        <x:f>MAX(G79*D79*I79,0)</x:f>
        <x:v>493.5076978277806</x:v>
      </x:c>
      <x:c r="K79" s="563" t="n">
        <x:f>MAX(MIN(J79*F79,H79),0)</x:f>
        <x:v>172.72769423972323</x:v>
      </x:c>
      <x:c r="L79" s="563" t="n">
        <x:f>MAX(J79-K79,0)</x:f>
        <x:v>320.78000358805735</x:v>
      </x:c>
      <x:c r="M79" s="185" t="n">
        <x:f>MAX('詳細設定'!$D$6,0)*(1+'詳細設定'!$D$21)^(B79-1)</x:f>
        <x:v>37.153205271035006</x:v>
      </x:c>
      <x:c r="N79" s="185" t="n">
        <x:f>IF(B79&lt;=MAX(MIN('詳細設定'!$D$8,20),0),MAX('詳細設定'!$D$7,0),IF(B79&lt;=MAX(MIN('詳細設定'!$D$10,20),0),MAX('詳細設定'!$D$9,0),MAX('詳細設定'!$D$11,0)))</x:f>
        <x:v>8.3</x:v>
      </x:c>
      <x:c r="O79" s="190" t="n">
        <x:f>K79*M79</x:f>
        <x:v>6417.387480081008</x:v>
      </x:c>
      <x:c r="P79" s="190" t="n">
        <x:f>L79*N79</x:f>
        <x:v>2662.474029780876</x:v>
      </x:c>
      <x:c r="Q79" s="190" t="n">
        <x:f>O79+P79</x:f>
        <x:v>9079.861509861885</x:v>
      </x:c>
      <x:c r="R79" s="196" t="n">
        <x:f>J79-K79-L79</x:f>
        <x:v>0</x:v>
      </x:c>
    </x:row>
    <x:row r="80">
      <x:c r="A80" s="20" t="str">
        <x:v>慎重</x:v>
      </x:c>
      <x:c r="B80" s="20" t="n">
        <x:v>7</x:v>
      </x:c>
      <x:c r="C80" s="20" t="n">
        <x:v>4</x:v>
      </x:c>
      <x:c r="D80" s="189" t="n">
        <x:v>0.9</x:v>
      </x:c>
      <x:c r="E80" s="189" t="n">
        <x:v>1.1</x:v>
      </x:c>
      <x:c r="F80" s="189" t="n">
        <x:f>MAX(MIN('詳細設定'!$D$15+-0.05,1),0)</x:f>
        <x:v>0.35000000000000003</x:v>
      </x:c>
      <x:c r="G80" s="563" t="n">
        <x:f>'_計算月次'!$J$8</x:f>
        <x:v>548.3944393749554</x:v>
      </x:c>
      <x:c r="H80" s="563" t="n">
        <x:f>'_計算月次'!$K$8</x:f>
        <x:v>315.00000000000006</x:v>
      </x:c>
      <x:c r="I80" s="563" t="n">
        <x:f>(1-MAX(MIN('詳細設定'!$D$16,0.999999),0))^(B80-1)</x:f>
        <x:v>1</x:v>
      </x:c>
      <x:c r="J80" s="563" t="n">
        <x:f>MAX(G80*D80*I80,0)</x:f>
        <x:v>493.55499543745987</x:v>
      </x:c>
      <x:c r="K80" s="563" t="n">
        <x:f>MAX(MIN(J80*F80,H80),0)</x:f>
        <x:v>172.74424840311096</x:v>
      </x:c>
      <x:c r="L80" s="563" t="n">
        <x:f>MAX(J80-K80,0)</x:f>
        <x:v>320.8107470343489</x:v>
      </x:c>
      <x:c r="M80" s="185" t="n">
        <x:f>MAX('詳細設定'!$D$6,0)*(1+'詳細設定'!$D$21)^(B80-1)</x:f>
        <x:v>37.153205271035006</x:v>
      </x:c>
      <x:c r="N80" s="185" t="n">
        <x:f>IF(B80&lt;=MAX(MIN('詳細設定'!$D$8,20),0),MAX('詳細設定'!$D$7,0),IF(B80&lt;=MAX(MIN('詳細設定'!$D$10,20),0),MAX('詳細設定'!$D$9,0),MAX('詳細設定'!$D$11,0)))</x:f>
        <x:v>8.3</x:v>
      </x:c>
      <x:c r="O80" s="190" t="n">
        <x:f>K80*M80</x:f>
        <x:v>6418.002520311443</x:v>
      </x:c>
      <x:c r="P80" s="190" t="n">
        <x:f>L80*N80</x:f>
        <x:v>2662.7292003850957</x:v>
      </x:c>
      <x:c r="Q80" s="190" t="n">
        <x:f>O80+P80</x:f>
        <x:v>9080.731720696538</x:v>
      </x:c>
      <x:c r="R80" s="196" t="n">
        <x:f>J80-K80-L80</x:f>
        <x:v>0</x:v>
      </x:c>
    </x:row>
    <x:row r="81">
      <x:c r="A81" s="20" t="str">
        <x:v>慎重</x:v>
      </x:c>
      <x:c r="B81" s="20" t="n">
        <x:v>7</x:v>
      </x:c>
      <x:c r="C81" s="20" t="n">
        <x:v>5</x:v>
      </x:c>
      <x:c r="D81" s="189" t="n">
        <x:v>0.9</x:v>
      </x:c>
      <x:c r="E81" s="189" t="n">
        <x:v>1.1</x:v>
      </x:c>
      <x:c r="F81" s="189" t="n">
        <x:f>MAX(MIN('詳細設定'!$D$15+-0.05,1),0)</x:f>
        <x:v>0.35000000000000003</x:v>
      </x:c>
      <x:c r="G81" s="563" t="n">
        <x:f>'_計算月次'!$J$9</x:f>
        <x:v>552.2367574934775</x:v>
      </x:c>
      <x:c r="H81" s="563" t="n">
        <x:f>'_計算月次'!$K$9</x:f>
        <x:v>315.00000000000006</x:v>
      </x:c>
      <x:c r="I81" s="563" t="n">
        <x:f>(1-MAX(MIN('詳細設定'!$D$16,0.999999),0))^(B81-1)</x:f>
        <x:v>1</x:v>
      </x:c>
      <x:c r="J81" s="563" t="n">
        <x:f>MAX(G81*D81*I81,0)</x:f>
        <x:v>497.01308174412975</x:v>
      </x:c>
      <x:c r="K81" s="563" t="n">
        <x:f>MAX(MIN(J81*F81,H81),0)</x:f>
        <x:v>173.95457861044542</x:v>
      </x:c>
      <x:c r="L81" s="563" t="n">
        <x:f>MAX(J81-K81,0)</x:f>
        <x:v>323.0585031336843</x:v>
      </x:c>
      <x:c r="M81" s="185" t="n">
        <x:f>MAX('詳細設定'!$D$6,0)*(1+'詳細設定'!$D$21)^(B81-1)</x:f>
        <x:v>37.153205271035006</x:v>
      </x:c>
      <x:c r="N81" s="185" t="n">
        <x:f>IF(B81&lt;=MAX(MIN('詳細設定'!$D$8,20),0),MAX('詳細設定'!$D$7,0),IF(B81&lt;=MAX(MIN('詳細設定'!$D$10,20),0),MAX('詳細設定'!$D$9,0),MAX('詳細設定'!$D$11,0)))</x:f>
        <x:v>8.3</x:v>
      </x:c>
      <x:c r="O81" s="190" t="n">
        <x:f>K81*M81</x:f>
        <x:v>6462.970166950274</x:v>
      </x:c>
      <x:c r="P81" s="190" t="n">
        <x:f>L81*N81</x:f>
        <x:v>2681.3855760095803</x:v>
      </x:c>
      <x:c r="Q81" s="190" t="n">
        <x:f>O81+P81</x:f>
        <x:v>9144.355742959855</x:v>
      </x:c>
      <x:c r="R81" s="196" t="n">
        <x:f>J81-K81-L81</x:f>
        <x:v>0</x:v>
      </x:c>
    </x:row>
    <x:row r="82">
      <x:c r="A82" s="20" t="str">
        <x:v>慎重</x:v>
      </x:c>
      <x:c r="B82" s="20" t="n">
        <x:v>7</x:v>
      </x:c>
      <x:c r="C82" s="20" t="n">
        <x:v>6</x:v>
      </x:c>
      <x:c r="D82" s="189" t="n">
        <x:v>0.9</x:v>
      </x:c>
      <x:c r="E82" s="189" t="n">
        <x:v>1.1</x:v>
      </x:c>
      <x:c r="F82" s="189" t="n">
        <x:f>MAX(MIN('詳細設定'!$D$15+-0.05,1),0)</x:f>
        <x:v>0.35000000000000003</x:v>
      </x:c>
      <x:c r="G82" s="563" t="n">
        <x:f>'_計算月次'!$J$10</x:f>
        <x:v>448.7994857612148</x:v>
      </x:c>
      <x:c r="H82" s="563" t="n">
        <x:f>'_計算月次'!$K$10</x:f>
        <x:v>360</x:v>
      </x:c>
      <x:c r="I82" s="563" t="n">
        <x:f>(1-MAX(MIN('詳細設定'!$D$16,0.999999),0))^(B82-1)</x:f>
        <x:v>1</x:v>
      </x:c>
      <x:c r="J82" s="563" t="n">
        <x:f>MAX(G82*D82*I82,0)</x:f>
        <x:v>403.9195371850933</x:v>
      </x:c>
      <x:c r="K82" s="563" t="n">
        <x:f>MAX(MIN(J82*F82,H82),0)</x:f>
        <x:v>141.37183801478267</x:v>
      </x:c>
      <x:c r="L82" s="563" t="n">
        <x:f>MAX(J82-K82,0)</x:f>
        <x:v>262.54769917031064</x:v>
      </x:c>
      <x:c r="M82" s="185" t="n">
        <x:f>MAX('詳細設定'!$D$6,0)*(1+'詳細設定'!$D$21)^(B82-1)</x:f>
        <x:v>37.153205271035006</x:v>
      </x:c>
      <x:c r="N82" s="185" t="n">
        <x:f>IF(B82&lt;=MAX(MIN('詳細設定'!$D$8,20),0),MAX('詳細設定'!$D$7,0),IF(B82&lt;=MAX(MIN('詳細設定'!$D$10,20),0),MAX('詳細設定'!$D$9,0),MAX('詳細設定'!$D$11,0)))</x:f>
        <x:v>8.3</x:v>
      </x:c>
      <x:c r="O82" s="190" t="n">
        <x:f>K82*M82</x:f>
        <x:v>5252.41691730673</x:v>
      </x:c>
      <x:c r="P82" s="190" t="n">
        <x:f>L82*N82</x:f>
        <x:v>2179.1459031135782</x:v>
      </x:c>
      <x:c r="Q82" s="190" t="n">
        <x:f>O82+P82</x:f>
        <x:v>7431.5628204203085</x:v>
      </x:c>
      <x:c r="R82" s="196" t="n">
        <x:f>J82-K82-L82</x:f>
        <x:v>0</x:v>
      </x:c>
    </x:row>
    <x:row r="83">
      <x:c r="A83" s="20" t="str">
        <x:v>慎重</x:v>
      </x:c>
      <x:c r="B83" s="20" t="n">
        <x:v>7</x:v>
      </x:c>
      <x:c r="C83" s="20" t="n">
        <x:v>7</x:v>
      </x:c>
      <x:c r="D83" s="189" t="n">
        <x:v>0.9</x:v>
      </x:c>
      <x:c r="E83" s="189" t="n">
        <x:v>1.1</x:v>
      </x:c>
      <x:c r="F83" s="189" t="n">
        <x:f>MAX(MIN('詳細設定'!$D$15+-0.05,1),0)</x:f>
        <x:v>0.35000000000000003</x:v>
      </x:c>
      <x:c r="G83" s="563" t="n">
        <x:f>'_計算月次'!$J$11</x:f>
        <x:v>476.0181638067866</x:v>
      </x:c>
      <x:c r="H83" s="563" t="n">
        <x:f>'_計算月次'!$K$11</x:f>
        <x:v>405</x:v>
      </x:c>
      <x:c r="I83" s="563" t="n">
        <x:f>(1-MAX(MIN('詳細設定'!$D$16,0.999999),0))^(B83-1)</x:f>
        <x:v>1</x:v>
      </x:c>
      <x:c r="J83" s="563" t="n">
        <x:f>MAX(G83*D83*I83,0)</x:f>
        <x:v>428.41634742610796</x:v>
      </x:c>
      <x:c r="K83" s="563" t="n">
        <x:f>MAX(MIN(J83*F83,H83),0)</x:f>
        <x:v>149.9457215991378</x:v>
      </x:c>
      <x:c r="L83" s="563" t="n">
        <x:f>MAX(J83-K83,0)</x:f>
        <x:v>278.47062582697015</x:v>
      </x:c>
      <x:c r="M83" s="185" t="n">
        <x:f>MAX('詳細設定'!$D$6,0)*(1+'詳細設定'!$D$21)^(B83-1)</x:f>
        <x:v>37.153205271035006</x:v>
      </x:c>
      <x:c r="N83" s="185" t="n">
        <x:f>IF(B83&lt;=MAX(MIN('詳細設定'!$D$8,20),0),MAX('詳細設定'!$D$7,0),IF(B83&lt;=MAX(MIN('詳細設定'!$D$10,20),0),MAX('詳細設定'!$D$9,0),MAX('詳細設定'!$D$11,0)))</x:f>
        <x:v>8.3</x:v>
      </x:c>
      <x:c r="O83" s="190" t="n">
        <x:f>K83*M83</x:f>
        <x:v>5570.964174086234</x:v>
      </x:c>
      <x:c r="P83" s="190" t="n">
        <x:f>L83*N83</x:f>
        <x:v>2311.3061943638522</x:v>
      </x:c>
      <x:c r="Q83" s="190" t="n">
        <x:f>O83+P83</x:f>
        <x:v>7882.270368450087</x:v>
      </x:c>
      <x:c r="R83" s="196" t="n">
        <x:f>J83-K83-L83</x:f>
        <x:v>0</x:v>
      </x:c>
    </x:row>
    <x:row r="84">
      <x:c r="A84" s="20" t="str">
        <x:v>慎重</x:v>
      </x:c>
      <x:c r="B84" s="20" t="n">
        <x:v>7</x:v>
      </x:c>
      <x:c r="C84" s="20" t="n">
        <x:v>8</x:v>
      </x:c>
      <x:c r="D84" s="189" t="n">
        <x:v>0.9</x:v>
      </x:c>
      <x:c r="E84" s="189" t="n">
        <x:v>1.1</x:v>
      </x:c>
      <x:c r="F84" s="189" t="n">
        <x:f>MAX(MIN('詳細設定'!$D$15+-0.05,1),0)</x:f>
        <x:v>0.35000000000000003</x:v>
      </x:c>
      <x:c r="G84" s="563" t="n">
        <x:f>'_計算月次'!$J$12</x:f>
        <x:v>528.6548067323699</x:v>
      </x:c>
      <x:c r="H84" s="563" t="n">
        <x:f>'_計算月次'!$K$12</x:f>
        <x:v>450</x:v>
      </x:c>
      <x:c r="I84" s="563" t="n">
        <x:f>(1-MAX(MIN('詳細設定'!$D$16,0.999999),0))^(B84-1)</x:f>
        <x:v>1</x:v>
      </x:c>
      <x:c r="J84" s="563" t="n">
        <x:f>MAX(G84*D84*I84,0)</x:f>
        <x:v>475.789326059133</x:v>
      </x:c>
      <x:c r="K84" s="563" t="n">
        <x:f>MAX(MIN(J84*F84,H84),0)</x:f>
        <x:v>166.52626412069657</x:v>
      </x:c>
      <x:c r="L84" s="563" t="n">
        <x:f>MAX(J84-K84,0)</x:f>
        <x:v>309.2630619384364</x:v>
      </x:c>
      <x:c r="M84" s="185" t="n">
        <x:f>MAX('詳細設定'!$D$6,0)*(1+'詳細設定'!$D$21)^(B84-1)</x:f>
        <x:v>37.153205271035006</x:v>
      </x:c>
      <x:c r="N84" s="185" t="n">
        <x:f>IF(B84&lt;=MAX(MIN('詳細設定'!$D$8,20),0),MAX('詳細設定'!$D$7,0),IF(B84&lt;=MAX(MIN('詳細設定'!$D$10,20),0),MAX('詳細設定'!$D$9,0),MAX('詳細設定'!$D$11,0)))</x:f>
        <x:v>8.3</x:v>
      </x:c>
      <x:c r="O84" s="190" t="n">
        <x:f>K84*M84</x:f>
        <x:v>6186.984473894831</x:v>
      </x:c>
      <x:c r="P84" s="190" t="n">
        <x:f>L84*N84</x:f>
        <x:v>2566.8834140890226</x:v>
      </x:c>
      <x:c r="Q84" s="190" t="n">
        <x:f>O84+P84</x:f>
        <x:v>8753.867887983854</x:v>
      </x:c>
      <x:c r="R84" s="196" t="n">
        <x:f>J84-K84-L84</x:f>
        <x:v>0</x:v>
      </x:c>
    </x:row>
    <x:row r="85">
      <x:c r="A85" s="20" t="str">
        <x:v>慎重</x:v>
      </x:c>
      <x:c r="B85" s="20" t="n">
        <x:v>7</x:v>
      </x:c>
      <x:c r="C85" s="20" t="n">
        <x:v>9</x:v>
      </x:c>
      <x:c r="D85" s="189" t="n">
        <x:v>0.9</x:v>
      </x:c>
      <x:c r="E85" s="189" t="n">
        <x:v>1.1</x:v>
      </x:c>
      <x:c r="F85" s="189" t="n">
        <x:f>MAX(MIN('詳細設定'!$D$15+-0.05,1),0)</x:f>
        <x:v>0.35000000000000003</x:v>
      </x:c>
      <x:c r="G85" s="563" t="n">
        <x:f>'_計算月次'!$J$13</x:f>
        <x:v>436.37734765103465</x:v>
      </x:c>
      <x:c r="H85" s="563" t="n">
        <x:f>'_計算月次'!$K$13</x:f>
        <x:v>360</x:v>
      </x:c>
      <x:c r="I85" s="563" t="n">
        <x:f>(1-MAX(MIN('詳細設定'!$D$16,0.999999),0))^(B85-1)</x:f>
        <x:v>1</x:v>
      </x:c>
      <x:c r="J85" s="563" t="n">
        <x:f>MAX(G85*D85*I85,0)</x:f>
        <x:v>392.7396128859312</x:v>
      </x:c>
      <x:c r="K85" s="563" t="n">
        <x:f>MAX(MIN(J85*F85,H85),0)</x:f>
        <x:v>137.45886451007593</x:v>
      </x:c>
      <x:c r="L85" s="563" t="n">
        <x:f>MAX(J85-K85,0)</x:f>
        <x:v>255.28074837585527</x:v>
      </x:c>
      <x:c r="M85" s="185" t="n">
        <x:f>MAX('詳細設定'!$D$6,0)*(1+'詳細設定'!$D$21)^(B85-1)</x:f>
        <x:v>37.153205271035006</x:v>
      </x:c>
      <x:c r="N85" s="185" t="n">
        <x:f>IF(B85&lt;=MAX(MIN('詳細設定'!$D$8,20),0),MAX('詳細設定'!$D$7,0),IF(B85&lt;=MAX(MIN('詳細設定'!$D$10,20),0),MAX('詳細設定'!$D$9,0),MAX('詳細設定'!$D$11,0)))</x:f>
        <x:v>8.3</x:v>
      </x:c>
      <x:c r="O85" s="190" t="n">
        <x:f>K85*M85</x:f>
        <x:v>5107.037409466239</x:v>
      </x:c>
      <x:c r="P85" s="190" t="n">
        <x:f>L85*N85</x:f>
        <x:v>2118.830211519599</x:v>
      </x:c>
      <x:c r="Q85" s="190" t="n">
        <x:f>O85+P85</x:f>
        <x:v>7225.867620985839</x:v>
      </x:c>
      <x:c r="R85" s="196" t="n">
        <x:f>J85-K85-L85</x:f>
        <x:v>0</x:v>
      </x:c>
    </x:row>
    <x:row r="86">
      <x:c r="A86" s="20" t="str">
        <x:v>慎重</x:v>
      </x:c>
      <x:c r="B86" s="20" t="n">
        <x:v>7</x:v>
      </x:c>
      <x:c r="C86" s="20" t="n">
        <x:v>10</x:v>
      </x:c>
      <x:c r="D86" s="189" t="n">
        <x:v>0.9</x:v>
      </x:c>
      <x:c r="E86" s="189" t="n">
        <x:v>1.1</x:v>
      </x:c>
      <x:c r="F86" s="189" t="n">
        <x:f>MAX(MIN('詳細設定'!$D$15+-0.05,1),0)</x:f>
        <x:v>0.35000000000000003</x:v>
      </x:c>
      <x:c r="G86" s="563" t="n">
        <x:f>'_計算月次'!$J$14</x:f>
        <x:v>408.8269849869007</x:v>
      </x:c>
      <x:c r="H86" s="563" t="n">
        <x:f>'_計算月次'!$K$14</x:f>
        <x:v>315.00000000000006</x:v>
      </x:c>
      <x:c r="I86" s="563" t="n">
        <x:f>(1-MAX(MIN('詳細設定'!$D$16,0.999999),0))^(B86-1)</x:f>
        <x:v>1</x:v>
      </x:c>
      <x:c r="J86" s="563" t="n">
        <x:f>MAX(G86*D86*I86,0)</x:f>
        <x:v>367.94428648821065</x:v>
      </x:c>
      <x:c r="K86" s="563" t="n">
        <x:f>MAX(MIN(J86*F86,H86),0)</x:f>
        <x:v>128.78050027087374</x:v>
      </x:c>
      <x:c r="L86" s="563" t="n">
        <x:f>MAX(J86-K86,0)</x:f>
        <x:v>239.1637862173369</x:v>
      </x:c>
      <x:c r="M86" s="185" t="n">
        <x:f>MAX('詳細設定'!$D$6,0)*(1+'詳細設定'!$D$21)^(B86-1)</x:f>
        <x:v>37.153205271035006</x:v>
      </x:c>
      <x:c r="N86" s="185" t="n">
        <x:f>IF(B86&lt;=MAX(MIN('詳細設定'!$D$8,20),0),MAX('詳細設定'!$D$7,0),IF(B86&lt;=MAX(MIN('詳細設定'!$D$10,20),0),MAX('詳細設定'!$D$9,0),MAX('詳細設定'!$D$11,0)))</x:f>
        <x:v>8.3</x:v>
      </x:c>
      <x:c r="O86" s="190" t="n">
        <x:f>K86*M86</x:f>
        <x:v>4784.608361470351</x:v>
      </x:c>
      <x:c r="P86" s="190" t="n">
        <x:f>L86*N86</x:f>
        <x:v>1985.0594256038964</x:v>
      </x:c>
      <x:c r="Q86" s="190" t="n">
        <x:f>O86+P86</x:f>
        <x:v>6769.667787074248</x:v>
      </x:c>
      <x:c r="R86" s="196" t="n">
        <x:f>J86-K86-L86</x:f>
        <x:v>0</x:v>
      </x:c>
    </x:row>
    <x:row r="87">
      <x:c r="A87" s="20" t="str">
        <x:v>慎重</x:v>
      </x:c>
      <x:c r="B87" s="20" t="n">
        <x:v>7</x:v>
      </x:c>
      <x:c r="C87" s="20" t="n">
        <x:v>11</x:v>
      </x:c>
      <x:c r="D87" s="189" t="n">
        <x:v>0.9</x:v>
      </x:c>
      <x:c r="E87" s="189" t="n">
        <x:v>1.1</x:v>
      </x:c>
      <x:c r="F87" s="189" t="n">
        <x:f>MAX(MIN('詳細設定'!$D$15+-0.05,1),0)</x:f>
        <x:v>0.35000000000000003</x:v>
      </x:c>
      <x:c r="G87" s="563" t="n">
        <x:f>'_計算月次'!$J$15</x:f>
        <x:v>398.45169764745054</x:v>
      </x:c>
      <x:c r="H87" s="563" t="n">
        <x:f>'_計算月次'!$K$15</x:f>
        <x:v>360</x:v>
      </x:c>
      <x:c r="I87" s="563" t="n">
        <x:f>(1-MAX(MIN('詳細設定'!$D$16,0.999999),0))^(B87-1)</x:f>
        <x:v>1</x:v>
      </x:c>
      <x:c r="J87" s="563" t="n">
        <x:f>MAX(G87*D87*I87,0)</x:f>
        <x:v>358.6065278827055</x:v>
      </x:c>
      <x:c r="K87" s="563" t="n">
        <x:f>MAX(MIN(J87*F87,H87),0)</x:f>
        <x:v>125.51228475894693</x:v>
      </x:c>
      <x:c r="L87" s="563" t="n">
        <x:f>MAX(J87-K87,0)</x:f>
        <x:v>233.0942431237586</x:v>
      </x:c>
      <x:c r="M87" s="185" t="n">
        <x:f>MAX('詳細設定'!$D$6,0)*(1+'詳細設定'!$D$21)^(B87-1)</x:f>
        <x:v>37.153205271035006</x:v>
      </x:c>
      <x:c r="N87" s="185" t="n">
        <x:f>IF(B87&lt;=MAX(MIN('詳細設定'!$D$8,20),0),MAX('詳細設定'!$D$7,0),IF(B87&lt;=MAX(MIN('詳細設定'!$D$10,20),0),MAX('詳細設定'!$D$9,0),MAX('詳細設定'!$D$11,0)))</x:f>
        <x:v>8.3</x:v>
      </x:c>
      <x:c r="O87" s="190" t="n">
        <x:f>K87*M87</x:f>
        <x:v>4663.183679685754</x:v>
      </x:c>
      <x:c r="P87" s="190" t="n">
        <x:f>L87*N87</x:f>
        <x:v>1934.6822179271965</x:v>
      </x:c>
      <x:c r="Q87" s="190" t="n">
        <x:f>O87+P87</x:f>
        <x:v>6597.865897612951</x:v>
      </x:c>
      <x:c r="R87" s="196" t="n">
        <x:f>J87-K87-L87</x:f>
        <x:v>0</x:v>
      </x:c>
    </x:row>
    <x:row r="88">
      <x:c r="A88" s="20" t="str">
        <x:v>慎重</x:v>
      </x:c>
      <x:c r="B88" s="20" t="n">
        <x:v>7</x:v>
      </x:c>
      <x:c r="C88" s="20" t="n">
        <x:v>12</x:v>
      </x:c>
      <x:c r="D88" s="189" t="n">
        <x:v>0.9</x:v>
      </x:c>
      <x:c r="E88" s="189" t="n">
        <x:v>1.1</x:v>
      </x:c>
      <x:c r="F88" s="189" t="n">
        <x:f>MAX(MIN('詳細設定'!$D$15+-0.05,1),0)</x:f>
        <x:v>0.35000000000000003</x:v>
      </x:c>
      <x:c r="G88" s="563" t="n">
        <x:f>'_計算月次'!$J$16</x:f>
        <x:v>443.97248688000184</x:v>
      </x:c>
      <x:c r="H88" s="563" t="n">
        <x:f>'_計算月次'!$K$16</x:f>
        <x:v>405</x:v>
      </x:c>
      <x:c r="I88" s="563" t="n">
        <x:f>(1-MAX(MIN('詳細設定'!$D$16,0.999999),0))^(B88-1)</x:f>
        <x:v>1</x:v>
      </x:c>
      <x:c r="J88" s="563" t="n">
        <x:f>MAX(G88*D88*I88,0)</x:f>
        <x:v>399.5752381920017</x:v>
      </x:c>
      <x:c r="K88" s="563" t="n">
        <x:f>MAX(MIN(J88*F88,H88),0)</x:f>
        <x:v>139.8513333672006</x:v>
      </x:c>
      <x:c r="L88" s="563" t="n">
        <x:f>MAX(J88-K88,0)</x:f>
        <x:v>259.7239048248011</x:v>
      </x:c>
      <x:c r="M88" s="185" t="n">
        <x:f>MAX('詳細設定'!$D$6,0)*(1+'詳細設定'!$D$21)^(B88-1)</x:f>
        <x:v>37.153205271035006</x:v>
      </x:c>
      <x:c r="N88" s="185" t="n">
        <x:f>IF(B88&lt;=MAX(MIN('詳細設定'!$D$8,20),0),MAX('詳細設定'!$D$7,0),IF(B88&lt;=MAX(MIN('詳細設定'!$D$10,20),0),MAX('詳細設定'!$D$9,0),MAX('詳細設定'!$D$11,0)))</x:f>
        <x:v>8.3</x:v>
      </x:c>
      <x:c r="O88" s="190" t="n">
        <x:f>K88*M88</x:f>
        <x:v>5195.925296019551</x:v>
      </x:c>
      <x:c r="P88" s="190" t="n">
        <x:f>L88*N88</x:f>
        <x:v>2155.708410045849</x:v>
      </x:c>
      <x:c r="Q88" s="190" t="n">
        <x:f>O88+P88</x:f>
        <x:v>7351.6337060654005</x:v>
      </x:c>
      <x:c r="R88" s="196" t="n">
        <x:f>J88-K88-L88</x:f>
        <x:v>0</x:v>
      </x:c>
    </x:row>
    <x:row r="89">
      <x:c r="A89" s="20" t="str">
        <x:v>慎重</x:v>
      </x:c>
      <x:c r="B89" s="20" t="n">
        <x:v>8</x:v>
      </x:c>
      <x:c r="C89" s="20" t="n">
        <x:v>1</x:v>
      </x:c>
      <x:c r="D89" s="189" t="n">
        <x:v>0.9</x:v>
      </x:c>
      <x:c r="E89" s="189" t="n">
        <x:v>1.1</x:v>
      </x:c>
      <x:c r="F89" s="189" t="n">
        <x:f>MAX(MIN('詳細設定'!$D$15+-0.05,1),0)</x:f>
        <x:v>0.35000000000000003</x:v>
      </x:c>
      <x:c r="G89" s="563" t="n">
        <x:f>'_計算月次'!$J$5</x:f>
        <x:v>502.4147595742038</x:v>
      </x:c>
      <x:c r="H89" s="563" t="n">
        <x:f>'_計算月次'!$K$5</x:f>
        <x:v>450</x:v>
      </x:c>
      <x:c r="I89" s="563" t="n">
        <x:f>(1-MAX(MIN('詳細設定'!$D$16,0.999999),0))^(B89-1)</x:f>
        <x:v>1</x:v>
      </x:c>
      <x:c r="J89" s="563" t="n">
        <x:f>MAX(G89*D89*I89,0)</x:f>
        <x:v>452.1732836167834</x:v>
      </x:c>
      <x:c r="K89" s="563" t="n">
        <x:f>MAX(MIN(J89*F89,H89),0)</x:f>
        <x:v>158.2606492658742</x:v>
      </x:c>
      <x:c r="L89" s="563" t="n">
        <x:f>MAX(J89-K89,0)</x:f>
        <x:v>293.91263435090923</x:v>
      </x:c>
      <x:c r="M89" s="185" t="n">
        <x:f>MAX('詳細設定'!$D$6,0)*(1+'詳細設定'!$D$21)^(B89-1)</x:f>
        <x:v>37.52473732374535</x:v>
      </x:c>
      <x:c r="N89" s="185" t="n">
        <x:f>IF(B89&lt;=MAX(MIN('詳細設定'!$D$8,20),0),MAX('詳細設定'!$D$7,0),IF(B89&lt;=MAX(MIN('詳細設定'!$D$10,20),0),MAX('詳細設定'!$D$9,0),MAX('詳細設定'!$D$11,0)))</x:f>
        <x:v>8.3</x:v>
      </x:c>
      <x:c r="O89" s="190" t="n">
        <x:f>K89*M89</x:f>
        <x:v>5938.689292387322</x:v>
      </x:c>
      <x:c r="P89" s="190" t="n">
        <x:f>L89*N89</x:f>
        <x:v>2439.474865112547</x:v>
      </x:c>
      <x:c r="Q89" s="190" t="n">
        <x:f>O89+P89</x:f>
        <x:v>8378.164157499868</x:v>
      </x:c>
      <x:c r="R89" s="196" t="n">
        <x:f>J89-K89-L89</x:f>
        <x:v>0</x:v>
      </x:c>
    </x:row>
    <x:row r="90">
      <x:c r="A90" s="20" t="str">
        <x:v>慎重</x:v>
      </x:c>
      <x:c r="B90" s="20" t="n">
        <x:v>8</x:v>
      </x:c>
      <x:c r="C90" s="20" t="n">
        <x:v>2</x:v>
      </x:c>
      <x:c r="D90" s="189" t="n">
        <x:v>0.9</x:v>
      </x:c>
      <x:c r="E90" s="189" t="n">
        <x:v>1.1</x:v>
      </x:c>
      <x:c r="F90" s="189" t="n">
        <x:f>MAX(MIN('詳細設定'!$D$15+-0.05,1),0)</x:f>
        <x:v>0.35000000000000003</x:v>
      </x:c>
      <x:c r="G90" s="563" t="n">
        <x:f>'_計算月次'!$J$6</x:f>
        <x:v>472.4508339500229</x:v>
      </x:c>
      <x:c r="H90" s="563" t="n">
        <x:f>'_計算月次'!$K$6</x:f>
        <x:v>405</x:v>
      </x:c>
      <x:c r="I90" s="563" t="n">
        <x:f>(1-MAX(MIN('詳細設定'!$D$16,0.999999),0))^(B90-1)</x:f>
        <x:v>1</x:v>
      </x:c>
      <x:c r="J90" s="563" t="n">
        <x:f>MAX(G90*D90*I90,0)</x:f>
        <x:v>425.20575055502064</x:v>
      </x:c>
      <x:c r="K90" s="563" t="n">
        <x:f>MAX(MIN(J90*F90,H90),0)</x:f>
        <x:v>148.82201269425724</x:v>
      </x:c>
      <x:c r="L90" s="563" t="n">
        <x:f>MAX(J90-K90,0)</x:f>
        <x:v>276.3837378607634</x:v>
      </x:c>
      <x:c r="M90" s="185" t="n">
        <x:f>MAX('詳細設定'!$D$6,0)*(1+'詳細設定'!$D$21)^(B90-1)</x:f>
        <x:v>37.52473732374535</x:v>
      </x:c>
      <x:c r="N90" s="185" t="n">
        <x:f>IF(B90&lt;=MAX(MIN('詳細設定'!$D$8,20),0),MAX('詳細設定'!$D$7,0),IF(B90&lt;=MAX(MIN('詳細設定'!$D$10,20),0),MAX('詳細設定'!$D$9,0),MAX('詳細設定'!$D$11,0)))</x:f>
        <x:v>8.3</x:v>
      </x:c>
      <x:c r="O90" s="190" t="n">
        <x:f>K90*M90</x:f>
        <x:v>5584.506934343099</x:v>
      </x:c>
      <x:c r="P90" s="190" t="n">
        <x:f>L90*N90</x:f>
        <x:v>2293.9850242443363</x:v>
      </x:c>
      <x:c r="Q90" s="190" t="n">
        <x:f>O90+P90</x:f>
        <x:v>7878.491958587435</x:v>
      </x:c>
      <x:c r="R90" s="196" t="n">
        <x:f>J90-K90-L90</x:f>
        <x:v>0</x:v>
      </x:c>
    </x:row>
    <x:row r="91">
      <x:c r="A91" s="20" t="str">
        <x:v>慎重</x:v>
      </x:c>
      <x:c r="B91" s="20" t="n">
        <x:v>8</x:v>
      </x:c>
      <x:c r="C91" s="20" t="n">
        <x:v>3</x:v>
      </x:c>
      <x:c r="D91" s="189" t="n">
        <x:v>0.9</x:v>
      </x:c>
      <x:c r="E91" s="189" t="n">
        <x:v>1.1</x:v>
      </x:c>
      <x:c r="F91" s="189" t="n">
        <x:f>MAX(MIN('詳細設定'!$D$15+-0.05,1),0)</x:f>
        <x:v>0.35000000000000003</x:v>
      </x:c>
      <x:c r="G91" s="563" t="n">
        <x:f>'_計算月次'!$J$7</x:f>
        <x:v>548.3418864753118</x:v>
      </x:c>
      <x:c r="H91" s="563" t="n">
        <x:f>'_計算月次'!$K$7</x:f>
        <x:v>360</x:v>
      </x:c>
      <x:c r="I91" s="563" t="n">
        <x:f>(1-MAX(MIN('詳細設定'!$D$16,0.999999),0))^(B91-1)</x:f>
        <x:v>1</x:v>
      </x:c>
      <x:c r="J91" s="563" t="n">
        <x:f>MAX(G91*D91*I91,0)</x:f>
        <x:v>493.5076978277806</x:v>
      </x:c>
      <x:c r="K91" s="563" t="n">
        <x:f>MAX(MIN(J91*F91,H91),0)</x:f>
        <x:v>172.72769423972323</x:v>
      </x:c>
      <x:c r="L91" s="563" t="n">
        <x:f>MAX(J91-K91,0)</x:f>
        <x:v>320.78000358805735</x:v>
      </x:c>
      <x:c r="M91" s="185" t="n">
        <x:f>MAX('詳細設定'!$D$6,0)*(1+'詳細設定'!$D$21)^(B91-1)</x:f>
        <x:v>37.52473732374535</x:v>
      </x:c>
      <x:c r="N91" s="185" t="n">
        <x:f>IF(B91&lt;=MAX(MIN('詳細設定'!$D$8,20),0),MAX('詳細設定'!$D$7,0),IF(B91&lt;=MAX(MIN('詳細設定'!$D$10,20),0),MAX('詳細設定'!$D$9,0),MAX('詳細設定'!$D$11,0)))</x:f>
        <x:v>8.3</x:v>
      </x:c>
      <x:c r="O91" s="190" t="n">
        <x:f>K91*M91</x:f>
        <x:v>6481.561354881817</x:v>
      </x:c>
      <x:c r="P91" s="190" t="n">
        <x:f>L91*N91</x:f>
        <x:v>2662.474029780876</x:v>
      </x:c>
      <x:c r="Q91" s="190" t="n">
        <x:f>O91+P91</x:f>
        <x:v>9144.035384662693</x:v>
      </x:c>
      <x:c r="R91" s="196" t="n">
        <x:f>J91-K91-L91</x:f>
        <x:v>0</x:v>
      </x:c>
    </x:row>
    <x:row r="92">
      <x:c r="A92" s="20" t="str">
        <x:v>慎重</x:v>
      </x:c>
      <x:c r="B92" s="20" t="n">
        <x:v>8</x:v>
      </x:c>
      <x:c r="C92" s="20" t="n">
        <x:v>4</x:v>
      </x:c>
      <x:c r="D92" s="189" t="n">
        <x:v>0.9</x:v>
      </x:c>
      <x:c r="E92" s="189" t="n">
        <x:v>1.1</x:v>
      </x:c>
      <x:c r="F92" s="189" t="n">
        <x:f>MAX(MIN('詳細設定'!$D$15+-0.05,1),0)</x:f>
        <x:v>0.35000000000000003</x:v>
      </x:c>
      <x:c r="G92" s="563" t="n">
        <x:f>'_計算月次'!$J$8</x:f>
        <x:v>548.3944393749554</x:v>
      </x:c>
      <x:c r="H92" s="563" t="n">
        <x:f>'_計算月次'!$K$8</x:f>
        <x:v>315.00000000000006</x:v>
      </x:c>
      <x:c r="I92" s="563" t="n">
        <x:f>(1-MAX(MIN('詳細設定'!$D$16,0.999999),0))^(B92-1)</x:f>
        <x:v>1</x:v>
      </x:c>
      <x:c r="J92" s="563" t="n">
        <x:f>MAX(G92*D92*I92,0)</x:f>
        <x:v>493.55499543745987</x:v>
      </x:c>
      <x:c r="K92" s="563" t="n">
        <x:f>MAX(MIN(J92*F92,H92),0)</x:f>
        <x:v>172.74424840311096</x:v>
      </x:c>
      <x:c r="L92" s="563" t="n">
        <x:f>MAX(J92-K92,0)</x:f>
        <x:v>320.8107470343489</x:v>
      </x:c>
      <x:c r="M92" s="185" t="n">
        <x:f>MAX('詳細設定'!$D$6,0)*(1+'詳細設定'!$D$21)^(B92-1)</x:f>
        <x:v>37.52473732374535</x:v>
      </x:c>
      <x:c r="N92" s="185" t="n">
        <x:f>IF(B92&lt;=MAX(MIN('詳細設定'!$D$8,20),0),MAX('詳細設定'!$D$7,0),IF(B92&lt;=MAX(MIN('詳細設定'!$D$10,20),0),MAX('詳細設定'!$D$9,0),MAX('詳細設定'!$D$11,0)))</x:f>
        <x:v>8.3</x:v>
      </x:c>
      <x:c r="O92" s="190" t="n">
        <x:f>K92*M92</x:f>
        <x:v>6482.182545514555</x:v>
      </x:c>
      <x:c r="P92" s="190" t="n">
        <x:f>L92*N92</x:f>
        <x:v>2662.7292003850957</x:v>
      </x:c>
      <x:c r="Q92" s="190" t="n">
        <x:f>O92+P92</x:f>
        <x:v>9144.911745899652</x:v>
      </x:c>
      <x:c r="R92" s="196" t="n">
        <x:f>J92-K92-L92</x:f>
        <x:v>0</x:v>
      </x:c>
    </x:row>
    <x:row r="93">
      <x:c r="A93" s="20" t="str">
        <x:v>慎重</x:v>
      </x:c>
      <x:c r="B93" s="20" t="n">
        <x:v>8</x:v>
      </x:c>
      <x:c r="C93" s="20" t="n">
        <x:v>5</x:v>
      </x:c>
      <x:c r="D93" s="189" t="n">
        <x:v>0.9</x:v>
      </x:c>
      <x:c r="E93" s="189" t="n">
        <x:v>1.1</x:v>
      </x:c>
      <x:c r="F93" s="189" t="n">
        <x:f>MAX(MIN('詳細設定'!$D$15+-0.05,1),0)</x:f>
        <x:v>0.35000000000000003</x:v>
      </x:c>
      <x:c r="G93" s="563" t="n">
        <x:f>'_計算月次'!$J$9</x:f>
        <x:v>552.2367574934775</x:v>
      </x:c>
      <x:c r="H93" s="563" t="n">
        <x:f>'_計算月次'!$K$9</x:f>
        <x:v>315.00000000000006</x:v>
      </x:c>
      <x:c r="I93" s="563" t="n">
        <x:f>(1-MAX(MIN('詳細設定'!$D$16,0.999999),0))^(B93-1)</x:f>
        <x:v>1</x:v>
      </x:c>
      <x:c r="J93" s="563" t="n">
        <x:f>MAX(G93*D93*I93,0)</x:f>
        <x:v>497.01308174412975</x:v>
      </x:c>
      <x:c r="K93" s="563" t="n">
        <x:f>MAX(MIN(J93*F93,H93),0)</x:f>
        <x:v>173.95457861044542</x:v>
      </x:c>
      <x:c r="L93" s="563" t="n">
        <x:f>MAX(J93-K93,0)</x:f>
        <x:v>323.0585031336843</x:v>
      </x:c>
      <x:c r="M93" s="185" t="n">
        <x:f>MAX('詳細設定'!$D$6,0)*(1+'詳細設定'!$D$21)^(B93-1)</x:f>
        <x:v>37.52473732374535</x:v>
      </x:c>
      <x:c r="N93" s="185" t="n">
        <x:f>IF(B93&lt;=MAX(MIN('詳細設定'!$D$8,20),0),MAX('詳細設定'!$D$7,0),IF(B93&lt;=MAX(MIN('詳細設定'!$D$10,20),0),MAX('詳細設定'!$D$9,0),MAX('詳細設定'!$D$11,0)))</x:f>
        <x:v>8.3</x:v>
      </x:c>
      <x:c r="O93" s="190" t="n">
        <x:f>K93*M93</x:f>
        <x:v>6527.599868619775</x:v>
      </x:c>
      <x:c r="P93" s="190" t="n">
        <x:f>L93*N93</x:f>
        <x:v>2681.3855760095803</x:v>
      </x:c>
      <x:c r="Q93" s="190" t="n">
        <x:f>O93+P93</x:f>
        <x:v>9208.985444629356</x:v>
      </x:c>
      <x:c r="R93" s="196" t="n">
        <x:f>J93-K93-L93</x:f>
        <x:v>0</x:v>
      </x:c>
    </x:row>
    <x:row r="94">
      <x:c r="A94" s="20" t="str">
        <x:v>慎重</x:v>
      </x:c>
      <x:c r="B94" s="20" t="n">
        <x:v>8</x:v>
      </x:c>
      <x:c r="C94" s="20" t="n">
        <x:v>6</x:v>
      </x:c>
      <x:c r="D94" s="189" t="n">
        <x:v>0.9</x:v>
      </x:c>
      <x:c r="E94" s="189" t="n">
        <x:v>1.1</x:v>
      </x:c>
      <x:c r="F94" s="189" t="n">
        <x:f>MAX(MIN('詳細設定'!$D$15+-0.05,1),0)</x:f>
        <x:v>0.35000000000000003</x:v>
      </x:c>
      <x:c r="G94" s="563" t="n">
        <x:f>'_計算月次'!$J$10</x:f>
        <x:v>448.7994857612148</x:v>
      </x:c>
      <x:c r="H94" s="563" t="n">
        <x:f>'_計算月次'!$K$10</x:f>
        <x:v>360</x:v>
      </x:c>
      <x:c r="I94" s="563" t="n">
        <x:f>(1-MAX(MIN('詳細設定'!$D$16,0.999999),0))^(B94-1)</x:f>
        <x:v>1</x:v>
      </x:c>
      <x:c r="J94" s="563" t="n">
        <x:f>MAX(G94*D94*I94,0)</x:f>
        <x:v>403.9195371850933</x:v>
      </x:c>
      <x:c r="K94" s="563" t="n">
        <x:f>MAX(MIN(J94*F94,H94),0)</x:f>
        <x:v>141.37183801478267</x:v>
      </x:c>
      <x:c r="L94" s="563" t="n">
        <x:f>MAX(J94-K94,0)</x:f>
        <x:v>262.54769917031064</x:v>
      </x:c>
      <x:c r="M94" s="185" t="n">
        <x:f>MAX('詳細設定'!$D$6,0)*(1+'詳細設定'!$D$21)^(B94-1)</x:f>
        <x:v>37.52473732374535</x:v>
      </x:c>
      <x:c r="N94" s="185" t="n">
        <x:f>IF(B94&lt;=MAX(MIN('詳細設定'!$D$8,20),0),MAX('詳細設定'!$D$7,0),IF(B94&lt;=MAX(MIN('詳細設定'!$D$10,20),0),MAX('詳細設定'!$D$9,0),MAX('詳細設定'!$D$11,0)))</x:f>
        <x:v>8.3</x:v>
      </x:c>
      <x:c r="O94" s="190" t="n">
        <x:f>K94*M94</x:f>
        <x:v>5304.9410864797965</x:v>
      </x:c>
      <x:c r="P94" s="190" t="n">
        <x:f>L94*N94</x:f>
        <x:v>2179.1459031135782</x:v>
      </x:c>
      <x:c r="Q94" s="190" t="n">
        <x:f>O94+P94</x:f>
        <x:v>7484.086989593375</x:v>
      </x:c>
      <x:c r="R94" s="196" t="n">
        <x:f>J94-K94-L94</x:f>
        <x:v>0</x:v>
      </x:c>
    </x:row>
    <x:row r="95">
      <x:c r="A95" s="20" t="str">
        <x:v>慎重</x:v>
      </x:c>
      <x:c r="B95" s="20" t="n">
        <x:v>8</x:v>
      </x:c>
      <x:c r="C95" s="20" t="n">
        <x:v>7</x:v>
      </x:c>
      <x:c r="D95" s="189" t="n">
        <x:v>0.9</x:v>
      </x:c>
      <x:c r="E95" s="189" t="n">
        <x:v>1.1</x:v>
      </x:c>
      <x:c r="F95" s="189" t="n">
        <x:f>MAX(MIN('詳細設定'!$D$15+-0.05,1),0)</x:f>
        <x:v>0.35000000000000003</x:v>
      </x:c>
      <x:c r="G95" s="563" t="n">
        <x:f>'_計算月次'!$J$11</x:f>
        <x:v>476.0181638067866</x:v>
      </x:c>
      <x:c r="H95" s="563" t="n">
        <x:f>'_計算月次'!$K$11</x:f>
        <x:v>405</x:v>
      </x:c>
      <x:c r="I95" s="563" t="n">
        <x:f>(1-MAX(MIN('詳細設定'!$D$16,0.999999),0))^(B95-1)</x:f>
        <x:v>1</x:v>
      </x:c>
      <x:c r="J95" s="563" t="n">
        <x:f>MAX(G95*D95*I95,0)</x:f>
        <x:v>428.41634742610796</x:v>
      </x:c>
      <x:c r="K95" s="563" t="n">
        <x:f>MAX(MIN(J95*F95,H95),0)</x:f>
        <x:v>149.9457215991378</x:v>
      </x:c>
      <x:c r="L95" s="563" t="n">
        <x:f>MAX(J95-K95,0)</x:f>
        <x:v>278.47062582697015</x:v>
      </x:c>
      <x:c r="M95" s="185" t="n">
        <x:f>MAX('詳細設定'!$D$6,0)*(1+'詳細設定'!$D$21)^(B95-1)</x:f>
        <x:v>37.52473732374535</x:v>
      </x:c>
      <x:c r="N95" s="185" t="n">
        <x:f>IF(B95&lt;=MAX(MIN('詳細設定'!$D$8,20),0),MAX('詳細設定'!$D$7,0),IF(B95&lt;=MAX(MIN('詳細設定'!$D$10,20),0),MAX('詳細設定'!$D$9,0),MAX('詳細設定'!$D$11,0)))</x:f>
        <x:v>8.3</x:v>
      </x:c>
      <x:c r="O95" s="190" t="n">
        <x:f>K95*M95</x:f>
        <x:v>5626.6738158270955</x:v>
      </x:c>
      <x:c r="P95" s="190" t="n">
        <x:f>L95*N95</x:f>
        <x:v>2311.3061943638522</x:v>
      </x:c>
      <x:c r="Q95" s="190" t="n">
        <x:f>O95+P95</x:f>
        <x:v>7937.980010190948</x:v>
      </x:c>
      <x:c r="R95" s="196" t="n">
        <x:f>J95-K95-L95</x:f>
        <x:v>0</x:v>
      </x:c>
    </x:row>
    <x:row r="96">
      <x:c r="A96" s="20" t="str">
        <x:v>慎重</x:v>
      </x:c>
      <x:c r="B96" s="20" t="n">
        <x:v>8</x:v>
      </x:c>
      <x:c r="C96" s="20" t="n">
        <x:v>8</x:v>
      </x:c>
      <x:c r="D96" s="189" t="n">
        <x:v>0.9</x:v>
      </x:c>
      <x:c r="E96" s="189" t="n">
        <x:v>1.1</x:v>
      </x:c>
      <x:c r="F96" s="189" t="n">
        <x:f>MAX(MIN('詳細設定'!$D$15+-0.05,1),0)</x:f>
        <x:v>0.35000000000000003</x:v>
      </x:c>
      <x:c r="G96" s="563" t="n">
        <x:f>'_計算月次'!$J$12</x:f>
        <x:v>528.6548067323699</x:v>
      </x:c>
      <x:c r="H96" s="563" t="n">
        <x:f>'_計算月次'!$K$12</x:f>
        <x:v>450</x:v>
      </x:c>
      <x:c r="I96" s="563" t="n">
        <x:f>(1-MAX(MIN('詳細設定'!$D$16,0.999999),0))^(B96-1)</x:f>
        <x:v>1</x:v>
      </x:c>
      <x:c r="J96" s="563" t="n">
        <x:f>MAX(G96*D96*I96,0)</x:f>
        <x:v>475.789326059133</x:v>
      </x:c>
      <x:c r="K96" s="563" t="n">
        <x:f>MAX(MIN(J96*F96,H96),0)</x:f>
        <x:v>166.52626412069657</x:v>
      </x:c>
      <x:c r="L96" s="563" t="n">
        <x:f>MAX(J96-K96,0)</x:f>
        <x:v>309.2630619384364</x:v>
      </x:c>
      <x:c r="M96" s="185" t="n">
        <x:f>MAX('詳細設定'!$D$6,0)*(1+'詳細設定'!$D$21)^(B96-1)</x:f>
        <x:v>37.52473732374535</x:v>
      </x:c>
      <x:c r="N96" s="185" t="n">
        <x:f>IF(B96&lt;=MAX(MIN('詳細設定'!$D$8,20),0),MAX('詳細設定'!$D$7,0),IF(B96&lt;=MAX(MIN('詳細設定'!$D$10,20),0),MAX('詳細設定'!$D$9,0),MAX('詳細設定'!$D$11,0)))</x:f>
        <x:v>8.3</x:v>
      </x:c>
      <x:c r="O96" s="190" t="n">
        <x:f>K96*M96</x:f>
        <x:v>6248.854318633778</x:v>
      </x:c>
      <x:c r="P96" s="190" t="n">
        <x:f>L96*N96</x:f>
        <x:v>2566.8834140890226</x:v>
      </x:c>
      <x:c r="Q96" s="190" t="n">
        <x:f>O96+P96</x:f>
        <x:v>8815.7377327228</x:v>
      </x:c>
      <x:c r="R96" s="196" t="n">
        <x:f>J96-K96-L96</x:f>
        <x:v>0</x:v>
      </x:c>
    </x:row>
    <x:row r="97">
      <x:c r="A97" s="20" t="str">
        <x:v>慎重</x:v>
      </x:c>
      <x:c r="B97" s="20" t="n">
        <x:v>8</x:v>
      </x:c>
      <x:c r="C97" s="20" t="n">
        <x:v>9</x:v>
      </x:c>
      <x:c r="D97" s="189" t="n">
        <x:v>0.9</x:v>
      </x:c>
      <x:c r="E97" s="189" t="n">
        <x:v>1.1</x:v>
      </x:c>
      <x:c r="F97" s="189" t="n">
        <x:f>MAX(MIN('詳細設定'!$D$15+-0.05,1),0)</x:f>
        <x:v>0.35000000000000003</x:v>
      </x:c>
      <x:c r="G97" s="563" t="n">
        <x:f>'_計算月次'!$J$13</x:f>
        <x:v>436.37734765103465</x:v>
      </x:c>
      <x:c r="H97" s="563" t="n">
        <x:f>'_計算月次'!$K$13</x:f>
        <x:v>360</x:v>
      </x:c>
      <x:c r="I97" s="563" t="n">
        <x:f>(1-MAX(MIN('詳細設定'!$D$16,0.999999),0))^(B97-1)</x:f>
        <x:v>1</x:v>
      </x:c>
      <x:c r="J97" s="563" t="n">
        <x:f>MAX(G97*D97*I97,0)</x:f>
        <x:v>392.7396128859312</x:v>
      </x:c>
      <x:c r="K97" s="563" t="n">
        <x:f>MAX(MIN(J97*F97,H97),0)</x:f>
        <x:v>137.45886451007593</x:v>
      </x:c>
      <x:c r="L97" s="563" t="n">
        <x:f>MAX(J97-K97,0)</x:f>
        <x:v>255.28074837585527</x:v>
      </x:c>
      <x:c r="M97" s="185" t="n">
        <x:f>MAX('詳細設定'!$D$6,0)*(1+'詳細設定'!$D$21)^(B97-1)</x:f>
        <x:v>37.52473732374535</x:v>
      </x:c>
      <x:c r="N97" s="185" t="n">
        <x:f>IF(B97&lt;=MAX(MIN('詳細設定'!$D$8,20),0),MAX('詳細設定'!$D$7,0),IF(B97&lt;=MAX(MIN('詳細設定'!$D$10,20),0),MAX('詳細設定'!$D$9,0),MAX('詳細設定'!$D$11,0)))</x:f>
        <x:v>8.3</x:v>
      </x:c>
      <x:c r="O97" s="190" t="n">
        <x:f>K97*M97</x:f>
        <x:v>5158.107783560901</x:v>
      </x:c>
      <x:c r="P97" s="190" t="n">
        <x:f>L97*N97</x:f>
        <x:v>2118.830211519599</x:v>
      </x:c>
      <x:c r="Q97" s="190" t="n">
        <x:f>O97+P97</x:f>
        <x:v>7276.9379950805</x:v>
      </x:c>
      <x:c r="R97" s="196" t="n">
        <x:f>J97-K97-L97</x:f>
        <x:v>0</x:v>
      </x:c>
    </x:row>
    <x:row r="98">
      <x:c r="A98" s="20" t="str">
        <x:v>慎重</x:v>
      </x:c>
      <x:c r="B98" s="20" t="n">
        <x:v>8</x:v>
      </x:c>
      <x:c r="C98" s="20" t="n">
        <x:v>10</x:v>
      </x:c>
      <x:c r="D98" s="189" t="n">
        <x:v>0.9</x:v>
      </x:c>
      <x:c r="E98" s="189" t="n">
        <x:v>1.1</x:v>
      </x:c>
      <x:c r="F98" s="189" t="n">
        <x:f>MAX(MIN('詳細設定'!$D$15+-0.05,1),0)</x:f>
        <x:v>0.35000000000000003</x:v>
      </x:c>
      <x:c r="G98" s="563" t="n">
        <x:f>'_計算月次'!$J$14</x:f>
        <x:v>408.8269849869007</x:v>
      </x:c>
      <x:c r="H98" s="563" t="n">
        <x:f>'_計算月次'!$K$14</x:f>
        <x:v>315.00000000000006</x:v>
      </x:c>
      <x:c r="I98" s="563" t="n">
        <x:f>(1-MAX(MIN('詳細設定'!$D$16,0.999999),0))^(B98-1)</x:f>
        <x:v>1</x:v>
      </x:c>
      <x:c r="J98" s="563" t="n">
        <x:f>MAX(G98*D98*I98,0)</x:f>
        <x:v>367.94428648821065</x:v>
      </x:c>
      <x:c r="K98" s="563" t="n">
        <x:f>MAX(MIN(J98*F98,H98),0)</x:f>
        <x:v>128.78050027087374</x:v>
      </x:c>
      <x:c r="L98" s="563" t="n">
        <x:f>MAX(J98-K98,0)</x:f>
        <x:v>239.1637862173369</x:v>
      </x:c>
      <x:c r="M98" s="185" t="n">
        <x:f>MAX('詳細設定'!$D$6,0)*(1+'詳細設定'!$D$21)^(B98-1)</x:f>
        <x:v>37.52473732374535</x:v>
      </x:c>
      <x:c r="N98" s="185" t="n">
        <x:f>IF(B98&lt;=MAX(MIN('詳細設定'!$D$8,20),0),MAX('詳細設定'!$D$7,0),IF(B98&lt;=MAX(MIN('詳細設定'!$D$10,20),0),MAX('詳細設定'!$D$9,0),MAX('詳細設定'!$D$11,0)))</x:f>
        <x:v>8.3</x:v>
      </x:c>
      <x:c r="O98" s="190" t="n">
        <x:f>K98*M98</x:f>
        <x:v>4832.454445085054</x:v>
      </x:c>
      <x:c r="P98" s="190" t="n">
        <x:f>L98*N98</x:f>
        <x:v>1985.0594256038964</x:v>
      </x:c>
      <x:c r="Q98" s="190" t="n">
        <x:f>O98+P98</x:f>
        <x:v>6817.513870688951</x:v>
      </x:c>
      <x:c r="R98" s="196" t="n">
        <x:f>J98-K98-L98</x:f>
        <x:v>0</x:v>
      </x:c>
    </x:row>
    <x:row r="99">
      <x:c r="A99" s="20" t="str">
        <x:v>慎重</x:v>
      </x:c>
      <x:c r="B99" s="20" t="n">
        <x:v>8</x:v>
      </x:c>
      <x:c r="C99" s="20" t="n">
        <x:v>11</x:v>
      </x:c>
      <x:c r="D99" s="189" t="n">
        <x:v>0.9</x:v>
      </x:c>
      <x:c r="E99" s="189" t="n">
        <x:v>1.1</x:v>
      </x:c>
      <x:c r="F99" s="189" t="n">
        <x:f>MAX(MIN('詳細設定'!$D$15+-0.05,1),0)</x:f>
        <x:v>0.35000000000000003</x:v>
      </x:c>
      <x:c r="G99" s="563" t="n">
        <x:f>'_計算月次'!$J$15</x:f>
        <x:v>398.45169764745054</x:v>
      </x:c>
      <x:c r="H99" s="563" t="n">
        <x:f>'_計算月次'!$K$15</x:f>
        <x:v>360</x:v>
      </x:c>
      <x:c r="I99" s="563" t="n">
        <x:f>(1-MAX(MIN('詳細設定'!$D$16,0.999999),0))^(B99-1)</x:f>
        <x:v>1</x:v>
      </x:c>
      <x:c r="J99" s="563" t="n">
        <x:f>MAX(G99*D99*I99,0)</x:f>
        <x:v>358.6065278827055</x:v>
      </x:c>
      <x:c r="K99" s="563" t="n">
        <x:f>MAX(MIN(J99*F99,H99),0)</x:f>
        <x:v>125.51228475894693</x:v>
      </x:c>
      <x:c r="L99" s="563" t="n">
        <x:f>MAX(J99-K99,0)</x:f>
        <x:v>233.0942431237586</x:v>
      </x:c>
      <x:c r="M99" s="185" t="n">
        <x:f>MAX('詳細設定'!$D$6,0)*(1+'詳細設定'!$D$21)^(B99-1)</x:f>
        <x:v>37.52473732374535</x:v>
      </x:c>
      <x:c r="N99" s="185" t="n">
        <x:f>IF(B99&lt;=MAX(MIN('詳細設定'!$D$8,20),0),MAX('詳細設定'!$D$7,0),IF(B99&lt;=MAX(MIN('詳細設定'!$D$10,20),0),MAX('詳細設定'!$D$9,0),MAX('詳細設定'!$D$11,0)))</x:f>
        <x:v>8.3</x:v>
      </x:c>
      <x:c r="O99" s="190" t="n">
        <x:f>K99*M99</x:f>
        <x:v>4709.81551648261</x:v>
      </x:c>
      <x:c r="P99" s="190" t="n">
        <x:f>L99*N99</x:f>
        <x:v>1934.6822179271965</x:v>
      </x:c>
      <x:c r="Q99" s="190" t="n">
        <x:f>O99+P99</x:f>
        <x:v>6644.497734409807</x:v>
      </x:c>
      <x:c r="R99" s="196" t="n">
        <x:f>J99-K99-L99</x:f>
        <x:v>0</x:v>
      </x:c>
    </x:row>
    <x:row r="100">
      <x:c r="A100" s="20" t="str">
        <x:v>慎重</x:v>
      </x:c>
      <x:c r="B100" s="20" t="n">
        <x:v>8</x:v>
      </x:c>
      <x:c r="C100" s="20" t="n">
        <x:v>12</x:v>
      </x:c>
      <x:c r="D100" s="189" t="n">
        <x:v>0.9</x:v>
      </x:c>
      <x:c r="E100" s="189" t="n">
        <x:v>1.1</x:v>
      </x:c>
      <x:c r="F100" s="189" t="n">
        <x:f>MAX(MIN('詳細設定'!$D$15+-0.05,1),0)</x:f>
        <x:v>0.35000000000000003</x:v>
      </x:c>
      <x:c r="G100" s="563" t="n">
        <x:f>'_計算月次'!$J$16</x:f>
        <x:v>443.97248688000184</x:v>
      </x:c>
      <x:c r="H100" s="563" t="n">
        <x:f>'_計算月次'!$K$16</x:f>
        <x:v>405</x:v>
      </x:c>
      <x:c r="I100" s="563" t="n">
        <x:f>(1-MAX(MIN('詳細設定'!$D$16,0.999999),0))^(B100-1)</x:f>
        <x:v>1</x:v>
      </x:c>
      <x:c r="J100" s="563" t="n">
        <x:f>MAX(G100*D100*I100,0)</x:f>
        <x:v>399.5752381920017</x:v>
      </x:c>
      <x:c r="K100" s="563" t="n">
        <x:f>MAX(MIN(J100*F100,H100),0)</x:f>
        <x:v>139.8513333672006</x:v>
      </x:c>
      <x:c r="L100" s="563" t="n">
        <x:f>MAX(J100-K100,0)</x:f>
        <x:v>259.7239048248011</x:v>
      </x:c>
      <x:c r="M100" s="185" t="n">
        <x:f>MAX('詳細設定'!$D$6,0)*(1+'詳細設定'!$D$21)^(B100-1)</x:f>
        <x:v>37.52473732374535</x:v>
      </x:c>
      <x:c r="N100" s="185" t="n">
        <x:f>IF(B100&lt;=MAX(MIN('詳細設定'!$D$8,20),0),MAX('詳細設定'!$D$7,0),IF(B100&lt;=MAX(MIN('詳細設定'!$D$10,20),0),MAX('詳細設定'!$D$9,0),MAX('詳細設定'!$D$11,0)))</x:f>
        <x:v>8.3</x:v>
      </x:c>
      <x:c r="O100" s="190" t="n">
        <x:f>K100*M100</x:f>
        <x:v>5247.884548979746</x:v>
      </x:c>
      <x:c r="P100" s="190" t="n">
        <x:f>L100*N100</x:f>
        <x:v>2155.708410045849</x:v>
      </x:c>
      <x:c r="Q100" s="190" t="n">
        <x:f>O100+P100</x:f>
        <x:v>7403.592959025595</x:v>
      </x:c>
      <x:c r="R100" s="196" t="n">
        <x:f>J100-K100-L100</x:f>
        <x:v>0</x:v>
      </x:c>
    </x:row>
    <x:row r="101">
      <x:c r="A101" s="20" t="str">
        <x:v>慎重</x:v>
      </x:c>
      <x:c r="B101" s="20" t="n">
        <x:v>9</x:v>
      </x:c>
      <x:c r="C101" s="20" t="n">
        <x:v>1</x:v>
      </x:c>
      <x:c r="D101" s="189" t="n">
        <x:v>0.9</x:v>
      </x:c>
      <x:c r="E101" s="189" t="n">
        <x:v>1.1</x:v>
      </x:c>
      <x:c r="F101" s="189" t="n">
        <x:f>MAX(MIN('詳細設定'!$D$15+-0.05,1),0)</x:f>
        <x:v>0.35000000000000003</x:v>
      </x:c>
      <x:c r="G101" s="563" t="n">
        <x:f>'_計算月次'!$J$5</x:f>
        <x:v>502.4147595742038</x:v>
      </x:c>
      <x:c r="H101" s="563" t="n">
        <x:f>'_計算月次'!$K$5</x:f>
        <x:v>450</x:v>
      </x:c>
      <x:c r="I101" s="563" t="n">
        <x:f>(1-MAX(MIN('詳細設定'!$D$16,0.999999),0))^(B101-1)</x:f>
        <x:v>1</x:v>
      </x:c>
      <x:c r="J101" s="563" t="n">
        <x:f>MAX(G101*D101*I101,0)</x:f>
        <x:v>452.1732836167834</x:v>
      </x:c>
      <x:c r="K101" s="563" t="n">
        <x:f>MAX(MIN(J101*F101,H101),0)</x:f>
        <x:v>158.2606492658742</x:v>
      </x:c>
      <x:c r="L101" s="563" t="n">
        <x:f>MAX(J101-K101,0)</x:f>
        <x:v>293.91263435090923</x:v>
      </x:c>
      <x:c r="M101" s="185" t="n">
        <x:f>MAX('詳細設定'!$D$6,0)*(1+'詳細設定'!$D$21)^(B101-1)</x:f>
        <x:v>37.899984696982806</x:v>
      </x:c>
      <x:c r="N101" s="185" t="n">
        <x:f>IF(B101&lt;=MAX(MIN('詳細設定'!$D$8,20),0),MAX('詳細設定'!$D$7,0),IF(B101&lt;=MAX(MIN('詳細設定'!$D$10,20),0),MAX('詳細設定'!$D$9,0),MAX('詳細設定'!$D$11,0)))</x:f>
        <x:v>8.3</x:v>
      </x:c>
      <x:c r="O101" s="190" t="n">
        <x:f>K101*M101</x:f>
        <x:v>5998.076185311195</x:v>
      </x:c>
      <x:c r="P101" s="190" t="n">
        <x:f>L101*N101</x:f>
        <x:v>2439.474865112547</x:v>
      </x:c>
      <x:c r="Q101" s="190" t="n">
        <x:f>O101+P101</x:f>
        <x:v>8437.551050423743</x:v>
      </x:c>
      <x:c r="R101" s="196" t="n">
        <x:f>J101-K101-L101</x:f>
        <x:v>0</x:v>
      </x:c>
    </x:row>
    <x:row r="102">
      <x:c r="A102" s="20" t="str">
        <x:v>慎重</x:v>
      </x:c>
      <x:c r="B102" s="20" t="n">
        <x:v>9</x:v>
      </x:c>
      <x:c r="C102" s="20" t="n">
        <x:v>2</x:v>
      </x:c>
      <x:c r="D102" s="189" t="n">
        <x:v>0.9</x:v>
      </x:c>
      <x:c r="E102" s="189" t="n">
        <x:v>1.1</x:v>
      </x:c>
      <x:c r="F102" s="189" t="n">
        <x:f>MAX(MIN('詳細設定'!$D$15+-0.05,1),0)</x:f>
        <x:v>0.35000000000000003</x:v>
      </x:c>
      <x:c r="G102" s="563" t="n">
        <x:f>'_計算月次'!$J$6</x:f>
        <x:v>472.4508339500229</x:v>
      </x:c>
      <x:c r="H102" s="563" t="n">
        <x:f>'_計算月次'!$K$6</x:f>
        <x:v>405</x:v>
      </x:c>
      <x:c r="I102" s="563" t="n">
        <x:f>(1-MAX(MIN('詳細設定'!$D$16,0.999999),0))^(B102-1)</x:f>
        <x:v>1</x:v>
      </x:c>
      <x:c r="J102" s="563" t="n">
        <x:f>MAX(G102*D102*I102,0)</x:f>
        <x:v>425.20575055502064</x:v>
      </x:c>
      <x:c r="K102" s="563" t="n">
        <x:f>MAX(MIN(J102*F102,H102),0)</x:f>
        <x:v>148.82201269425724</x:v>
      </x:c>
      <x:c r="L102" s="563" t="n">
        <x:f>MAX(J102-K102,0)</x:f>
        <x:v>276.3837378607634</x:v>
      </x:c>
      <x:c r="M102" s="185" t="n">
        <x:f>MAX('詳細設定'!$D$6,0)*(1+'詳細設定'!$D$21)^(B102-1)</x:f>
        <x:v>37.899984696982806</x:v>
      </x:c>
      <x:c r="N102" s="185" t="n">
        <x:f>IF(B102&lt;=MAX(MIN('詳細設定'!$D$8,20),0),MAX('詳細設定'!$D$7,0),IF(B102&lt;=MAX(MIN('詳細設定'!$D$10,20),0),MAX('詳細設定'!$D$9,0),MAX('詳細設定'!$D$11,0)))</x:f>
        <x:v>8.3</x:v>
      </x:c>
      <x:c r="O102" s="190" t="n">
        <x:f>K102*M102</x:f>
        <x:v>5640.35200368653</x:v>
      </x:c>
      <x:c r="P102" s="190" t="n">
        <x:f>L102*N102</x:f>
        <x:v>2293.9850242443363</x:v>
      </x:c>
      <x:c r="Q102" s="190" t="n">
        <x:f>O102+P102</x:f>
        <x:v>7934.3370279308665</x:v>
      </x:c>
      <x:c r="R102" s="196" t="n">
        <x:f>J102-K102-L102</x:f>
        <x:v>0</x:v>
      </x:c>
    </x:row>
    <x:row r="103">
      <x:c r="A103" s="20" t="str">
        <x:v>慎重</x:v>
      </x:c>
      <x:c r="B103" s="20" t="n">
        <x:v>9</x:v>
      </x:c>
      <x:c r="C103" s="20" t="n">
        <x:v>3</x:v>
      </x:c>
      <x:c r="D103" s="189" t="n">
        <x:v>0.9</x:v>
      </x:c>
      <x:c r="E103" s="189" t="n">
        <x:v>1.1</x:v>
      </x:c>
      <x:c r="F103" s="189" t="n">
        <x:f>MAX(MIN('詳細設定'!$D$15+-0.05,1),0)</x:f>
        <x:v>0.35000000000000003</x:v>
      </x:c>
      <x:c r="G103" s="563" t="n">
        <x:f>'_計算月次'!$J$7</x:f>
        <x:v>548.3418864753118</x:v>
      </x:c>
      <x:c r="H103" s="563" t="n">
        <x:f>'_計算月次'!$K$7</x:f>
        <x:v>360</x:v>
      </x:c>
      <x:c r="I103" s="563" t="n">
        <x:f>(1-MAX(MIN('詳細設定'!$D$16,0.999999),0))^(B103-1)</x:f>
        <x:v>1</x:v>
      </x:c>
      <x:c r="J103" s="563" t="n">
        <x:f>MAX(G103*D103*I103,0)</x:f>
        <x:v>493.5076978277806</x:v>
      </x:c>
      <x:c r="K103" s="563" t="n">
        <x:f>MAX(MIN(J103*F103,H103),0)</x:f>
        <x:v>172.72769423972323</x:v>
      </x:c>
      <x:c r="L103" s="563" t="n">
        <x:f>MAX(J103-K103,0)</x:f>
        <x:v>320.78000358805735</x:v>
      </x:c>
      <x:c r="M103" s="185" t="n">
        <x:f>MAX('詳細設定'!$D$6,0)*(1+'詳細設定'!$D$21)^(B103-1)</x:f>
        <x:v>37.899984696982806</x:v>
      </x:c>
      <x:c r="N103" s="185" t="n">
        <x:f>IF(B103&lt;=MAX(MIN('詳細設定'!$D$8,20),0),MAX('詳細設定'!$D$7,0),IF(B103&lt;=MAX(MIN('詳細設定'!$D$10,20),0),MAX('詳細設定'!$D$9,0),MAX('詳細設定'!$D$11,0)))</x:f>
        <x:v>8.3</x:v>
      </x:c>
      <x:c r="O103" s="190" t="n">
        <x:f>K103*M103</x:f>
        <x:v>6546.376968430635</x:v>
      </x:c>
      <x:c r="P103" s="190" t="n">
        <x:f>L103*N103</x:f>
        <x:v>2662.474029780876</x:v>
      </x:c>
      <x:c r="Q103" s="190" t="n">
        <x:f>O103+P103</x:f>
        <x:v>9208.850998211512</x:v>
      </x:c>
      <x:c r="R103" s="196" t="n">
        <x:f>J103-K103-L103</x:f>
        <x:v>0</x:v>
      </x:c>
    </x:row>
    <x:row r="104">
      <x:c r="A104" s="20" t="str">
        <x:v>慎重</x:v>
      </x:c>
      <x:c r="B104" s="20" t="n">
        <x:v>9</x:v>
      </x:c>
      <x:c r="C104" s="20" t="n">
        <x:v>4</x:v>
      </x:c>
      <x:c r="D104" s="189" t="n">
        <x:v>0.9</x:v>
      </x:c>
      <x:c r="E104" s="189" t="n">
        <x:v>1.1</x:v>
      </x:c>
      <x:c r="F104" s="189" t="n">
        <x:f>MAX(MIN('詳細設定'!$D$15+-0.05,1),0)</x:f>
        <x:v>0.35000000000000003</x:v>
      </x:c>
      <x:c r="G104" s="563" t="n">
        <x:f>'_計算月次'!$J$8</x:f>
        <x:v>548.3944393749554</x:v>
      </x:c>
      <x:c r="H104" s="563" t="n">
        <x:f>'_計算月次'!$K$8</x:f>
        <x:v>315.00000000000006</x:v>
      </x:c>
      <x:c r="I104" s="563" t="n">
        <x:f>(1-MAX(MIN('詳細設定'!$D$16,0.999999),0))^(B104-1)</x:f>
        <x:v>1</x:v>
      </x:c>
      <x:c r="J104" s="563" t="n">
        <x:f>MAX(G104*D104*I104,0)</x:f>
        <x:v>493.55499543745987</x:v>
      </x:c>
      <x:c r="K104" s="563" t="n">
        <x:f>MAX(MIN(J104*F104,H104),0)</x:f>
        <x:v>172.74424840311096</x:v>
      </x:c>
      <x:c r="L104" s="563" t="n">
        <x:f>MAX(J104-K104,0)</x:f>
        <x:v>320.8107470343489</x:v>
      </x:c>
      <x:c r="M104" s="185" t="n">
        <x:f>MAX('詳細設定'!$D$6,0)*(1+'詳細設定'!$D$21)^(B104-1)</x:f>
        <x:v>37.899984696982806</x:v>
      </x:c>
      <x:c r="N104" s="185" t="n">
        <x:f>IF(B104&lt;=MAX(MIN('詳細設定'!$D$8,20),0),MAX('詳細設定'!$D$7,0),IF(B104&lt;=MAX(MIN('詳細設定'!$D$10,20),0),MAX('詳細設定'!$D$9,0),MAX('詳細設定'!$D$11,0)))</x:f>
        <x:v>8.3</x:v>
      </x:c>
      <x:c r="O104" s="190" t="n">
        <x:f>K104*M104</x:f>
        <x:v>6547.004370969702</x:v>
      </x:c>
      <x:c r="P104" s="190" t="n">
        <x:f>L104*N104</x:f>
        <x:v>2662.7292003850957</x:v>
      </x:c>
      <x:c r="Q104" s="190" t="n">
        <x:f>O104+P104</x:f>
        <x:v>9209.733571354798</x:v>
      </x:c>
      <x:c r="R104" s="196" t="n">
        <x:f>J104-K104-L104</x:f>
        <x:v>0</x:v>
      </x:c>
    </x:row>
    <x:row r="105">
      <x:c r="A105" s="20" t="str">
        <x:v>慎重</x:v>
      </x:c>
      <x:c r="B105" s="20" t="n">
        <x:v>9</x:v>
      </x:c>
      <x:c r="C105" s="20" t="n">
        <x:v>5</x:v>
      </x:c>
      <x:c r="D105" s="189" t="n">
        <x:v>0.9</x:v>
      </x:c>
      <x:c r="E105" s="189" t="n">
        <x:v>1.1</x:v>
      </x:c>
      <x:c r="F105" s="189" t="n">
        <x:f>MAX(MIN('詳細設定'!$D$15+-0.05,1),0)</x:f>
        <x:v>0.35000000000000003</x:v>
      </x:c>
      <x:c r="G105" s="563" t="n">
        <x:f>'_計算月次'!$J$9</x:f>
        <x:v>552.2367574934775</x:v>
      </x:c>
      <x:c r="H105" s="563" t="n">
        <x:f>'_計算月次'!$K$9</x:f>
        <x:v>315.00000000000006</x:v>
      </x:c>
      <x:c r="I105" s="563" t="n">
        <x:f>(1-MAX(MIN('詳細設定'!$D$16,0.999999),0))^(B105-1)</x:f>
        <x:v>1</x:v>
      </x:c>
      <x:c r="J105" s="563" t="n">
        <x:f>MAX(G105*D105*I105,0)</x:f>
        <x:v>497.01308174412975</x:v>
      </x:c>
      <x:c r="K105" s="563" t="n">
        <x:f>MAX(MIN(J105*F105,H105),0)</x:f>
        <x:v>173.95457861044542</x:v>
      </x:c>
      <x:c r="L105" s="563" t="n">
        <x:f>MAX(J105-K105,0)</x:f>
        <x:v>323.0585031336843</x:v>
      </x:c>
      <x:c r="M105" s="185" t="n">
        <x:f>MAX('詳細設定'!$D$6,0)*(1+'詳細設定'!$D$21)^(B105-1)</x:f>
        <x:v>37.899984696982806</x:v>
      </x:c>
      <x:c r="N105" s="185" t="n">
        <x:f>IF(B105&lt;=MAX(MIN('詳細設定'!$D$8,20),0),MAX('詳細設定'!$D$7,0),IF(B105&lt;=MAX(MIN('詳細設定'!$D$10,20),0),MAX('詳細設定'!$D$9,0),MAX('詳細設定'!$D$11,0)))</x:f>
        <x:v>8.3</x:v>
      </x:c>
      <x:c r="O105" s="190" t="n">
        <x:f>K105*M105</x:f>
        <x:v>6592.875867305974</x:v>
      </x:c>
      <x:c r="P105" s="190" t="n">
        <x:f>L105*N105</x:f>
        <x:v>2681.3855760095803</x:v>
      </x:c>
      <x:c r="Q105" s="190" t="n">
        <x:f>O105+P105</x:f>
        <x:v>9274.261443315554</x:v>
      </x:c>
      <x:c r="R105" s="196" t="n">
        <x:f>J105-K105-L105</x:f>
        <x:v>0</x:v>
      </x:c>
    </x:row>
    <x:row r="106">
      <x:c r="A106" s="20" t="str">
        <x:v>慎重</x:v>
      </x:c>
      <x:c r="B106" s="20" t="n">
        <x:v>9</x:v>
      </x:c>
      <x:c r="C106" s="20" t="n">
        <x:v>6</x:v>
      </x:c>
      <x:c r="D106" s="189" t="n">
        <x:v>0.9</x:v>
      </x:c>
      <x:c r="E106" s="189" t="n">
        <x:v>1.1</x:v>
      </x:c>
      <x:c r="F106" s="189" t="n">
        <x:f>MAX(MIN('詳細設定'!$D$15+-0.05,1),0)</x:f>
        <x:v>0.35000000000000003</x:v>
      </x:c>
      <x:c r="G106" s="563" t="n">
        <x:f>'_計算月次'!$J$10</x:f>
        <x:v>448.7994857612148</x:v>
      </x:c>
      <x:c r="H106" s="563" t="n">
        <x:f>'_計算月次'!$K$10</x:f>
        <x:v>360</x:v>
      </x:c>
      <x:c r="I106" s="563" t="n">
        <x:f>(1-MAX(MIN('詳細設定'!$D$16,0.999999),0))^(B106-1)</x:f>
        <x:v>1</x:v>
      </x:c>
      <x:c r="J106" s="563" t="n">
        <x:f>MAX(G106*D106*I106,0)</x:f>
        <x:v>403.9195371850933</x:v>
      </x:c>
      <x:c r="K106" s="563" t="n">
        <x:f>MAX(MIN(J106*F106,H106),0)</x:f>
        <x:v>141.37183801478267</x:v>
      </x:c>
      <x:c r="L106" s="563" t="n">
        <x:f>MAX(J106-K106,0)</x:f>
        <x:v>262.54769917031064</x:v>
      </x:c>
      <x:c r="M106" s="185" t="n">
        <x:f>MAX('詳細設定'!$D$6,0)*(1+'詳細設定'!$D$21)^(B106-1)</x:f>
        <x:v>37.899984696982806</x:v>
      </x:c>
      <x:c r="N106" s="185" t="n">
        <x:f>IF(B106&lt;=MAX(MIN('詳細設定'!$D$8,20),0),MAX('詳細設定'!$D$7,0),IF(B106&lt;=MAX(MIN('詳細設定'!$D$10,20),0),MAX('詳細設定'!$D$9,0),MAX('詳細設定'!$D$11,0)))</x:f>
        <x:v>8.3</x:v>
      </x:c>
      <x:c r="O106" s="190" t="n">
        <x:f>K106*M106</x:f>
        <x:v>5357.9904973445955</x:v>
      </x:c>
      <x:c r="P106" s="190" t="n">
        <x:f>L106*N106</x:f>
        <x:v>2179.1459031135782</x:v>
      </x:c>
      <x:c r="Q106" s="190" t="n">
        <x:f>O106+P106</x:f>
        <x:v>7537.136400458174</x:v>
      </x:c>
      <x:c r="R106" s="196" t="n">
        <x:f>J106-K106-L106</x:f>
        <x:v>0</x:v>
      </x:c>
    </x:row>
    <x:row r="107">
      <x:c r="A107" s="20" t="str">
        <x:v>慎重</x:v>
      </x:c>
      <x:c r="B107" s="20" t="n">
        <x:v>9</x:v>
      </x:c>
      <x:c r="C107" s="20" t="n">
        <x:v>7</x:v>
      </x:c>
      <x:c r="D107" s="189" t="n">
        <x:v>0.9</x:v>
      </x:c>
      <x:c r="E107" s="189" t="n">
        <x:v>1.1</x:v>
      </x:c>
      <x:c r="F107" s="189" t="n">
        <x:f>MAX(MIN('詳細設定'!$D$15+-0.05,1),0)</x:f>
        <x:v>0.35000000000000003</x:v>
      </x:c>
      <x:c r="G107" s="563" t="n">
        <x:f>'_計算月次'!$J$11</x:f>
        <x:v>476.0181638067866</x:v>
      </x:c>
      <x:c r="H107" s="563" t="n">
        <x:f>'_計算月次'!$K$11</x:f>
        <x:v>405</x:v>
      </x:c>
      <x:c r="I107" s="563" t="n">
        <x:f>(1-MAX(MIN('詳細設定'!$D$16,0.999999),0))^(B107-1)</x:f>
        <x:v>1</x:v>
      </x:c>
      <x:c r="J107" s="563" t="n">
        <x:f>MAX(G107*D107*I107,0)</x:f>
        <x:v>428.41634742610796</x:v>
      </x:c>
      <x:c r="K107" s="563" t="n">
        <x:f>MAX(MIN(J107*F107,H107),0)</x:f>
        <x:v>149.9457215991378</x:v>
      </x:c>
      <x:c r="L107" s="563" t="n">
        <x:f>MAX(J107-K107,0)</x:f>
        <x:v>278.47062582697015</x:v>
      </x:c>
      <x:c r="M107" s="185" t="n">
        <x:f>MAX('詳細設定'!$D$6,0)*(1+'詳細設定'!$D$21)^(B107-1)</x:f>
        <x:v>37.899984696982806</x:v>
      </x:c>
      <x:c r="N107" s="185" t="n">
        <x:f>IF(B107&lt;=MAX(MIN('詳細設定'!$D$8,20),0),MAX('詳細設定'!$D$7,0),IF(B107&lt;=MAX(MIN('詳細設定'!$D$10,20),0),MAX('詳細設定'!$D$9,0),MAX('詳細設定'!$D$11,0)))</x:f>
        <x:v>8.3</x:v>
      </x:c>
      <x:c r="O107" s="190" t="n">
        <x:f>K107*M107</x:f>
        <x:v>5682.940553985367</x:v>
      </x:c>
      <x:c r="P107" s="190" t="n">
        <x:f>L107*N107</x:f>
        <x:v>2311.3061943638522</x:v>
      </x:c>
      <x:c r="Q107" s="190" t="n">
        <x:f>O107+P107</x:f>
        <x:v>7994.246748349219</x:v>
      </x:c>
      <x:c r="R107" s="196" t="n">
        <x:f>J107-K107-L107</x:f>
        <x:v>0</x:v>
      </x:c>
    </x:row>
    <x:row r="108">
      <x:c r="A108" s="20" t="str">
        <x:v>慎重</x:v>
      </x:c>
      <x:c r="B108" s="20" t="n">
        <x:v>9</x:v>
      </x:c>
      <x:c r="C108" s="20" t="n">
        <x:v>8</x:v>
      </x:c>
      <x:c r="D108" s="189" t="n">
        <x:v>0.9</x:v>
      </x:c>
      <x:c r="E108" s="189" t="n">
        <x:v>1.1</x:v>
      </x:c>
      <x:c r="F108" s="189" t="n">
        <x:f>MAX(MIN('詳細設定'!$D$15+-0.05,1),0)</x:f>
        <x:v>0.35000000000000003</x:v>
      </x:c>
      <x:c r="G108" s="563" t="n">
        <x:f>'_計算月次'!$J$12</x:f>
        <x:v>528.6548067323699</x:v>
      </x:c>
      <x:c r="H108" s="563" t="n">
        <x:f>'_計算月次'!$K$12</x:f>
        <x:v>450</x:v>
      </x:c>
      <x:c r="I108" s="563" t="n">
        <x:f>(1-MAX(MIN('詳細設定'!$D$16,0.999999),0))^(B108-1)</x:f>
        <x:v>1</x:v>
      </x:c>
      <x:c r="J108" s="563" t="n">
        <x:f>MAX(G108*D108*I108,0)</x:f>
        <x:v>475.789326059133</x:v>
      </x:c>
      <x:c r="K108" s="563" t="n">
        <x:f>MAX(MIN(J108*F108,H108),0)</x:f>
        <x:v>166.52626412069657</x:v>
      </x:c>
      <x:c r="L108" s="563" t="n">
        <x:f>MAX(J108-K108,0)</x:f>
        <x:v>309.2630619384364</x:v>
      </x:c>
      <x:c r="M108" s="185" t="n">
        <x:f>MAX('詳細設定'!$D$6,0)*(1+'詳細設定'!$D$21)^(B108-1)</x:f>
        <x:v>37.899984696982806</x:v>
      </x:c>
      <x:c r="N108" s="185" t="n">
        <x:f>IF(B108&lt;=MAX(MIN('詳細設定'!$D$8,20),0),MAX('詳細設定'!$D$7,0),IF(B108&lt;=MAX(MIN('詳細設定'!$D$10,20),0),MAX('詳細設定'!$D$9,0),MAX('詳細設定'!$D$11,0)))</x:f>
        <x:v>8.3</x:v>
      </x:c>
      <x:c r="O108" s="190" t="n">
        <x:f>K108*M108</x:f>
        <x:v>6311.342861820117</x:v>
      </x:c>
      <x:c r="P108" s="190" t="n">
        <x:f>L108*N108</x:f>
        <x:v>2566.8834140890226</x:v>
      </x:c>
      <x:c r="Q108" s="190" t="n">
        <x:f>O108+P108</x:f>
        <x:v>8878.226275909139</x:v>
      </x:c>
      <x:c r="R108" s="196" t="n">
        <x:f>J108-K108-L108</x:f>
        <x:v>0</x:v>
      </x:c>
    </x:row>
    <x:row r="109">
      <x:c r="A109" s="20" t="str">
        <x:v>慎重</x:v>
      </x:c>
      <x:c r="B109" s="20" t="n">
        <x:v>9</x:v>
      </x:c>
      <x:c r="C109" s="20" t="n">
        <x:v>9</x:v>
      </x:c>
      <x:c r="D109" s="189" t="n">
        <x:v>0.9</x:v>
      </x:c>
      <x:c r="E109" s="189" t="n">
        <x:v>1.1</x:v>
      </x:c>
      <x:c r="F109" s="189" t="n">
        <x:f>MAX(MIN('詳細設定'!$D$15+-0.05,1),0)</x:f>
        <x:v>0.35000000000000003</x:v>
      </x:c>
      <x:c r="G109" s="563" t="n">
        <x:f>'_計算月次'!$J$13</x:f>
        <x:v>436.37734765103465</x:v>
      </x:c>
      <x:c r="H109" s="563" t="n">
        <x:f>'_計算月次'!$K$13</x:f>
        <x:v>360</x:v>
      </x:c>
      <x:c r="I109" s="563" t="n">
        <x:f>(1-MAX(MIN('詳細設定'!$D$16,0.999999),0))^(B109-1)</x:f>
        <x:v>1</x:v>
      </x:c>
      <x:c r="J109" s="563" t="n">
        <x:f>MAX(G109*D109*I109,0)</x:f>
        <x:v>392.7396128859312</x:v>
      </x:c>
      <x:c r="K109" s="563" t="n">
        <x:f>MAX(MIN(J109*F109,H109),0)</x:f>
        <x:v>137.45886451007593</x:v>
      </x:c>
      <x:c r="L109" s="563" t="n">
        <x:f>MAX(J109-K109,0)</x:f>
        <x:v>255.28074837585527</x:v>
      </x:c>
      <x:c r="M109" s="185" t="n">
        <x:f>MAX('詳細設定'!$D$6,0)*(1+'詳細設定'!$D$21)^(B109-1)</x:f>
        <x:v>37.899984696982806</x:v>
      </x:c>
      <x:c r="N109" s="185" t="n">
        <x:f>IF(B109&lt;=MAX(MIN('詳細設定'!$D$8,20),0),MAX('詳細設定'!$D$7,0),IF(B109&lt;=MAX(MIN('詳細設定'!$D$10,20),0),MAX('詳細設定'!$D$9,0),MAX('詳細設定'!$D$11,0)))</x:f>
        <x:v>8.3</x:v>
      </x:c>
      <x:c r="O109" s="190" t="n">
        <x:f>K109*M109</x:f>
        <x:v>5209.68886139651</x:v>
      </x:c>
      <x:c r="P109" s="190" t="n">
        <x:f>L109*N109</x:f>
        <x:v>2118.830211519599</x:v>
      </x:c>
      <x:c r="Q109" s="190" t="n">
        <x:f>O109+P109</x:f>
        <x:v>7328.5190729161095</x:v>
      </x:c>
      <x:c r="R109" s="196" t="n">
        <x:f>J109-K109-L109</x:f>
        <x:v>0</x:v>
      </x:c>
    </x:row>
    <x:row r="110">
      <x:c r="A110" s="20" t="str">
        <x:v>慎重</x:v>
      </x:c>
      <x:c r="B110" s="20" t="n">
        <x:v>9</x:v>
      </x:c>
      <x:c r="C110" s="20" t="n">
        <x:v>10</x:v>
      </x:c>
      <x:c r="D110" s="189" t="n">
        <x:v>0.9</x:v>
      </x:c>
      <x:c r="E110" s="189" t="n">
        <x:v>1.1</x:v>
      </x:c>
      <x:c r="F110" s="189" t="n">
        <x:f>MAX(MIN('詳細設定'!$D$15+-0.05,1),0)</x:f>
        <x:v>0.35000000000000003</x:v>
      </x:c>
      <x:c r="G110" s="563" t="n">
        <x:f>'_計算月次'!$J$14</x:f>
        <x:v>408.8269849869007</x:v>
      </x:c>
      <x:c r="H110" s="563" t="n">
        <x:f>'_計算月次'!$K$14</x:f>
        <x:v>315.00000000000006</x:v>
      </x:c>
      <x:c r="I110" s="563" t="n">
        <x:f>(1-MAX(MIN('詳細設定'!$D$16,0.999999),0))^(B110-1)</x:f>
        <x:v>1</x:v>
      </x:c>
      <x:c r="J110" s="563" t="n">
        <x:f>MAX(G110*D110*I110,0)</x:f>
        <x:v>367.94428648821065</x:v>
      </x:c>
      <x:c r="K110" s="563" t="n">
        <x:f>MAX(MIN(J110*F110,H110),0)</x:f>
        <x:v>128.78050027087374</x:v>
      </x:c>
      <x:c r="L110" s="563" t="n">
        <x:f>MAX(J110-K110,0)</x:f>
        <x:v>239.1637862173369</x:v>
      </x:c>
      <x:c r="M110" s="185" t="n">
        <x:f>MAX('詳細設定'!$D$6,0)*(1+'詳細設定'!$D$21)^(B110-1)</x:f>
        <x:v>37.899984696982806</x:v>
      </x:c>
      <x:c r="N110" s="185" t="n">
        <x:f>IF(B110&lt;=MAX(MIN('詳細設定'!$D$8,20),0),MAX('詳細設定'!$D$7,0),IF(B110&lt;=MAX(MIN('詳細設定'!$D$10,20),0),MAX('詳細設定'!$D$9,0),MAX('詳細設定'!$D$11,0)))</x:f>
        <x:v>8.3</x:v>
      </x:c>
      <x:c r="O110" s="190" t="n">
        <x:f>K110*M110</x:f>
        <x:v>4880.778989535905</x:v>
      </x:c>
      <x:c r="P110" s="190" t="n">
        <x:f>L110*N110</x:f>
        <x:v>1985.0594256038964</x:v>
      </x:c>
      <x:c r="Q110" s="190" t="n">
        <x:f>O110+P110</x:f>
        <x:v>6865.838415139801</x:v>
      </x:c>
      <x:c r="R110" s="196" t="n">
        <x:f>J110-K110-L110</x:f>
        <x:v>0</x:v>
      </x:c>
    </x:row>
    <x:row r="111">
      <x:c r="A111" s="20" t="str">
        <x:v>慎重</x:v>
      </x:c>
      <x:c r="B111" s="20" t="n">
        <x:v>9</x:v>
      </x:c>
      <x:c r="C111" s="20" t="n">
        <x:v>11</x:v>
      </x:c>
      <x:c r="D111" s="189" t="n">
        <x:v>0.9</x:v>
      </x:c>
      <x:c r="E111" s="189" t="n">
        <x:v>1.1</x:v>
      </x:c>
      <x:c r="F111" s="189" t="n">
        <x:f>MAX(MIN('詳細設定'!$D$15+-0.05,1),0)</x:f>
        <x:v>0.35000000000000003</x:v>
      </x:c>
      <x:c r="G111" s="563" t="n">
        <x:f>'_計算月次'!$J$15</x:f>
        <x:v>398.45169764745054</x:v>
      </x:c>
      <x:c r="H111" s="563" t="n">
        <x:f>'_計算月次'!$K$15</x:f>
        <x:v>360</x:v>
      </x:c>
      <x:c r="I111" s="563" t="n">
        <x:f>(1-MAX(MIN('詳細設定'!$D$16,0.999999),0))^(B111-1)</x:f>
        <x:v>1</x:v>
      </x:c>
      <x:c r="J111" s="563" t="n">
        <x:f>MAX(G111*D111*I111,0)</x:f>
        <x:v>358.6065278827055</x:v>
      </x:c>
      <x:c r="K111" s="563" t="n">
        <x:f>MAX(MIN(J111*F111,H111),0)</x:f>
        <x:v>125.51228475894693</x:v>
      </x:c>
      <x:c r="L111" s="563" t="n">
        <x:f>MAX(J111-K111,0)</x:f>
        <x:v>233.0942431237586</x:v>
      </x:c>
      <x:c r="M111" s="185" t="n">
        <x:f>MAX('詳細設定'!$D$6,0)*(1+'詳細設定'!$D$21)^(B111-1)</x:f>
        <x:v>37.899984696982806</x:v>
      </x:c>
      <x:c r="N111" s="185" t="n">
        <x:f>IF(B111&lt;=MAX(MIN('詳細設定'!$D$8,20),0),MAX('詳細設定'!$D$7,0),IF(B111&lt;=MAX(MIN('詳細設定'!$D$10,20),0),MAX('詳細設定'!$D$9,0),MAX('詳細設定'!$D$11,0)))</x:f>
        <x:v>8.3</x:v>
      </x:c>
      <x:c r="O111" s="190" t="n">
        <x:f>K111*M111</x:f>
        <x:v>4756.913671647437</x:v>
      </x:c>
      <x:c r="P111" s="190" t="n">
        <x:f>L111*N111</x:f>
        <x:v>1934.6822179271965</x:v>
      </x:c>
      <x:c r="Q111" s="190" t="n">
        <x:f>O111+P111</x:f>
        <x:v>6691.5958895746335</x:v>
      </x:c>
      <x:c r="R111" s="196" t="n">
        <x:f>J111-K111-L111</x:f>
        <x:v>0</x:v>
      </x:c>
    </x:row>
    <x:row r="112">
      <x:c r="A112" s="20" t="str">
        <x:v>慎重</x:v>
      </x:c>
      <x:c r="B112" s="20" t="n">
        <x:v>9</x:v>
      </x:c>
      <x:c r="C112" s="20" t="n">
        <x:v>12</x:v>
      </x:c>
      <x:c r="D112" s="189" t="n">
        <x:v>0.9</x:v>
      </x:c>
      <x:c r="E112" s="189" t="n">
        <x:v>1.1</x:v>
      </x:c>
      <x:c r="F112" s="189" t="n">
        <x:f>MAX(MIN('詳細設定'!$D$15+-0.05,1),0)</x:f>
        <x:v>0.35000000000000003</x:v>
      </x:c>
      <x:c r="G112" s="563" t="n">
        <x:f>'_計算月次'!$J$16</x:f>
        <x:v>443.97248688000184</x:v>
      </x:c>
      <x:c r="H112" s="563" t="n">
        <x:f>'_計算月次'!$K$16</x:f>
        <x:v>405</x:v>
      </x:c>
      <x:c r="I112" s="563" t="n">
        <x:f>(1-MAX(MIN('詳細設定'!$D$16,0.999999),0))^(B112-1)</x:f>
        <x:v>1</x:v>
      </x:c>
      <x:c r="J112" s="563" t="n">
        <x:f>MAX(G112*D112*I112,0)</x:f>
        <x:v>399.5752381920017</x:v>
      </x:c>
      <x:c r="K112" s="563" t="n">
        <x:f>MAX(MIN(J112*F112,H112),0)</x:f>
        <x:v>139.8513333672006</x:v>
      </x:c>
      <x:c r="L112" s="563" t="n">
        <x:f>MAX(J112-K112,0)</x:f>
        <x:v>259.7239048248011</x:v>
      </x:c>
      <x:c r="M112" s="185" t="n">
        <x:f>MAX('詳細設定'!$D$6,0)*(1+'詳細設定'!$D$21)^(B112-1)</x:f>
        <x:v>37.899984696982806</x:v>
      </x:c>
      <x:c r="N112" s="185" t="n">
        <x:f>IF(B112&lt;=MAX(MIN('詳細設定'!$D$8,20),0),MAX('詳細設定'!$D$7,0),IF(B112&lt;=MAX(MIN('詳細設定'!$D$10,20),0),MAX('詳細設定'!$D$9,0),MAX('詳細設定'!$D$11,0)))</x:f>
        <x:v>8.3</x:v>
      </x:c>
      <x:c r="O112" s="190" t="n">
        <x:f>K112*M112</x:f>
        <x:v>5300.363394469543</x:v>
      </x:c>
      <x:c r="P112" s="190" t="n">
        <x:f>L112*N112</x:f>
        <x:v>2155.708410045849</x:v>
      </x:c>
      <x:c r="Q112" s="190" t="n">
        <x:f>O112+P112</x:f>
        <x:v>7456.071804515392</x:v>
      </x:c>
      <x:c r="R112" s="196" t="n">
        <x:f>J112-K112-L112</x:f>
        <x:v>0</x:v>
      </x:c>
    </x:row>
    <x:row r="113">
      <x:c r="A113" s="20" t="str">
        <x:v>慎重</x:v>
      </x:c>
      <x:c r="B113" s="20" t="n">
        <x:v>10</x:v>
      </x:c>
      <x:c r="C113" s="20" t="n">
        <x:v>1</x:v>
      </x:c>
      <x:c r="D113" s="189" t="n">
        <x:v>0.9</x:v>
      </x:c>
      <x:c r="E113" s="189" t="n">
        <x:v>1.1</x:v>
      </x:c>
      <x:c r="F113" s="189" t="n">
        <x:f>MAX(MIN('詳細設定'!$D$15+-0.05,1),0)</x:f>
        <x:v>0.35000000000000003</x:v>
      </x:c>
      <x:c r="G113" s="563" t="n">
        <x:f>'_計算月次'!$J$5</x:f>
        <x:v>502.4147595742038</x:v>
      </x:c>
      <x:c r="H113" s="563" t="n">
        <x:f>'_計算月次'!$K$5</x:f>
        <x:v>450</x:v>
      </x:c>
      <x:c r="I113" s="563" t="n">
        <x:f>(1-MAX(MIN('詳細設定'!$D$16,0.999999),0))^(B113-1)</x:f>
        <x:v>1</x:v>
      </x:c>
      <x:c r="J113" s="563" t="n">
        <x:f>MAX(G113*D113*I113,0)</x:f>
        <x:v>452.1732836167834</x:v>
      </x:c>
      <x:c r="K113" s="563" t="n">
        <x:f>MAX(MIN(J113*F113,H113),0)</x:f>
        <x:v>158.2606492658742</x:v>
      </x:c>
      <x:c r="L113" s="563" t="n">
        <x:f>MAX(J113-K113,0)</x:f>
        <x:v>293.91263435090923</x:v>
      </x:c>
      <x:c r="M113" s="185" t="n">
        <x:f>MAX('詳細設定'!$D$6,0)*(1+'詳細設定'!$D$21)^(B113-1)</x:f>
        <x:v>38.27898454395263</x:v>
      </x:c>
      <x:c r="N113" s="185" t="n">
        <x:f>IF(B113&lt;=MAX(MIN('詳細設定'!$D$8,20),0),MAX('詳細設定'!$D$7,0),IF(B113&lt;=MAX(MIN('詳細設定'!$D$10,20),0),MAX('詳細設定'!$D$9,0),MAX('詳細設定'!$D$11,0)))</x:f>
        <x:v>8.3</x:v>
      </x:c>
      <x:c r="O113" s="190" t="n">
        <x:f>K113*M113</x:f>
        <x:v>6058.0569471643075</x:v>
      </x:c>
      <x:c r="P113" s="190" t="n">
        <x:f>L113*N113</x:f>
        <x:v>2439.474865112547</x:v>
      </x:c>
      <x:c r="Q113" s="190" t="n">
        <x:f>O113+P113</x:f>
        <x:v>8497.531812276855</x:v>
      </x:c>
      <x:c r="R113" s="196" t="n">
        <x:f>J113-K113-L113</x:f>
        <x:v>0</x:v>
      </x:c>
    </x:row>
    <x:row r="114">
      <x:c r="A114" s="20" t="str">
        <x:v>慎重</x:v>
      </x:c>
      <x:c r="B114" s="20" t="n">
        <x:v>10</x:v>
      </x:c>
      <x:c r="C114" s="20" t="n">
        <x:v>2</x:v>
      </x:c>
      <x:c r="D114" s="189" t="n">
        <x:v>0.9</x:v>
      </x:c>
      <x:c r="E114" s="189" t="n">
        <x:v>1.1</x:v>
      </x:c>
      <x:c r="F114" s="189" t="n">
        <x:f>MAX(MIN('詳細設定'!$D$15+-0.05,1),0)</x:f>
        <x:v>0.35000000000000003</x:v>
      </x:c>
      <x:c r="G114" s="563" t="n">
        <x:f>'_計算月次'!$J$6</x:f>
        <x:v>472.4508339500229</x:v>
      </x:c>
      <x:c r="H114" s="563" t="n">
        <x:f>'_計算月次'!$K$6</x:f>
        <x:v>405</x:v>
      </x:c>
      <x:c r="I114" s="563" t="n">
        <x:f>(1-MAX(MIN('詳細設定'!$D$16,0.999999),0))^(B114-1)</x:f>
        <x:v>1</x:v>
      </x:c>
      <x:c r="J114" s="563" t="n">
        <x:f>MAX(G114*D114*I114,0)</x:f>
        <x:v>425.20575055502064</x:v>
      </x:c>
      <x:c r="K114" s="563" t="n">
        <x:f>MAX(MIN(J114*F114,H114),0)</x:f>
        <x:v>148.82201269425724</x:v>
      </x:c>
      <x:c r="L114" s="563" t="n">
        <x:f>MAX(J114-K114,0)</x:f>
        <x:v>276.3837378607634</x:v>
      </x:c>
      <x:c r="M114" s="185" t="n">
        <x:f>MAX('詳細設定'!$D$6,0)*(1+'詳細設定'!$D$21)^(B114-1)</x:f>
        <x:v>38.27898454395263</x:v>
      </x:c>
      <x:c r="N114" s="185" t="n">
        <x:f>IF(B114&lt;=MAX(MIN('詳細設定'!$D$8,20),0),MAX('詳細設定'!$D$7,0),IF(B114&lt;=MAX(MIN('詳細設定'!$D$10,20),0),MAX('詳細設定'!$D$9,0),MAX('詳細設定'!$D$11,0)))</x:f>
        <x:v>8.3</x:v>
      </x:c>
      <x:c r="O114" s="190" t="n">
        <x:f>K114*M114</x:f>
        <x:v>5696.7555237233955</x:v>
      </x:c>
      <x:c r="P114" s="190" t="n">
        <x:f>L114*N114</x:f>
        <x:v>2293.9850242443363</x:v>
      </x:c>
      <x:c r="Q114" s="190" t="n">
        <x:f>O114+P114</x:f>
        <x:v>7990.740547967732</x:v>
      </x:c>
      <x:c r="R114" s="196" t="n">
        <x:f>J114-K114-L114</x:f>
        <x:v>0</x:v>
      </x:c>
    </x:row>
    <x:row r="115">
      <x:c r="A115" s="20" t="str">
        <x:v>慎重</x:v>
      </x:c>
      <x:c r="B115" s="20" t="n">
        <x:v>10</x:v>
      </x:c>
      <x:c r="C115" s="20" t="n">
        <x:v>3</x:v>
      </x:c>
      <x:c r="D115" s="189" t="n">
        <x:v>0.9</x:v>
      </x:c>
      <x:c r="E115" s="189" t="n">
        <x:v>1.1</x:v>
      </x:c>
      <x:c r="F115" s="189" t="n">
        <x:f>MAX(MIN('詳細設定'!$D$15+-0.05,1),0)</x:f>
        <x:v>0.35000000000000003</x:v>
      </x:c>
      <x:c r="G115" s="563" t="n">
        <x:f>'_計算月次'!$J$7</x:f>
        <x:v>548.3418864753118</x:v>
      </x:c>
      <x:c r="H115" s="563" t="n">
        <x:f>'_計算月次'!$K$7</x:f>
        <x:v>360</x:v>
      </x:c>
      <x:c r="I115" s="563" t="n">
        <x:f>(1-MAX(MIN('詳細設定'!$D$16,0.999999),0))^(B115-1)</x:f>
        <x:v>1</x:v>
      </x:c>
      <x:c r="J115" s="563" t="n">
        <x:f>MAX(G115*D115*I115,0)</x:f>
        <x:v>493.5076978277806</x:v>
      </x:c>
      <x:c r="K115" s="563" t="n">
        <x:f>MAX(MIN(J115*F115,H115),0)</x:f>
        <x:v>172.72769423972323</x:v>
      </x:c>
      <x:c r="L115" s="563" t="n">
        <x:f>MAX(J115-K115,0)</x:f>
        <x:v>320.78000358805735</x:v>
      </x:c>
      <x:c r="M115" s="185" t="n">
        <x:f>MAX('詳細設定'!$D$6,0)*(1+'詳細設定'!$D$21)^(B115-1)</x:f>
        <x:v>38.27898454395263</x:v>
      </x:c>
      <x:c r="N115" s="185" t="n">
        <x:f>IF(B115&lt;=MAX(MIN('詳細設定'!$D$8,20),0),MAX('詳細設定'!$D$7,0),IF(B115&lt;=MAX(MIN('詳細設定'!$D$10,20),0),MAX('詳細設定'!$D$9,0),MAX('詳細設定'!$D$11,0)))</x:f>
        <x:v>8.3</x:v>
      </x:c>
      <x:c r="O115" s="190" t="n">
        <x:f>K115*M115</x:f>
        <x:v>6611.840738114942</x:v>
      </x:c>
      <x:c r="P115" s="190" t="n">
        <x:f>L115*N115</x:f>
        <x:v>2662.474029780876</x:v>
      </x:c>
      <x:c r="Q115" s="190" t="n">
        <x:f>O115+P115</x:f>
        <x:v>9274.314767895818</x:v>
      </x:c>
      <x:c r="R115" s="196" t="n">
        <x:f>J115-K115-L115</x:f>
        <x:v>0</x:v>
      </x:c>
    </x:row>
    <x:row r="116">
      <x:c r="A116" s="20" t="str">
        <x:v>慎重</x:v>
      </x:c>
      <x:c r="B116" s="20" t="n">
        <x:v>10</x:v>
      </x:c>
      <x:c r="C116" s="20" t="n">
        <x:v>4</x:v>
      </x:c>
      <x:c r="D116" s="189" t="n">
        <x:v>0.9</x:v>
      </x:c>
      <x:c r="E116" s="189" t="n">
        <x:v>1.1</x:v>
      </x:c>
      <x:c r="F116" s="189" t="n">
        <x:f>MAX(MIN('詳細設定'!$D$15+-0.05,1),0)</x:f>
        <x:v>0.35000000000000003</x:v>
      </x:c>
      <x:c r="G116" s="563" t="n">
        <x:f>'_計算月次'!$J$8</x:f>
        <x:v>548.3944393749554</x:v>
      </x:c>
      <x:c r="H116" s="563" t="n">
        <x:f>'_計算月次'!$K$8</x:f>
        <x:v>315.00000000000006</x:v>
      </x:c>
      <x:c r="I116" s="563" t="n">
        <x:f>(1-MAX(MIN('詳細設定'!$D$16,0.999999),0))^(B116-1)</x:f>
        <x:v>1</x:v>
      </x:c>
      <x:c r="J116" s="563" t="n">
        <x:f>MAX(G116*D116*I116,0)</x:f>
        <x:v>493.55499543745987</x:v>
      </x:c>
      <x:c r="K116" s="563" t="n">
        <x:f>MAX(MIN(J116*F116,H116),0)</x:f>
        <x:v>172.74424840311096</x:v>
      </x:c>
      <x:c r="L116" s="563" t="n">
        <x:f>MAX(J116-K116,0)</x:f>
        <x:v>320.8107470343489</x:v>
      </x:c>
      <x:c r="M116" s="185" t="n">
        <x:f>MAX('詳細設定'!$D$6,0)*(1+'詳細設定'!$D$21)^(B116-1)</x:f>
        <x:v>38.27898454395263</x:v>
      </x:c>
      <x:c r="N116" s="185" t="n">
        <x:f>IF(B116&lt;=MAX(MIN('詳細設定'!$D$8,20),0),MAX('詳細設定'!$D$7,0),IF(B116&lt;=MAX(MIN('詳細設定'!$D$10,20),0),MAX('詳細設定'!$D$9,0),MAX('詳細設定'!$D$11,0)))</x:f>
        <x:v>8.3</x:v>
      </x:c>
      <x:c r="O116" s="190" t="n">
        <x:f>K116*M116</x:f>
        <x:v>6612.474414679398</x:v>
      </x:c>
      <x:c r="P116" s="190" t="n">
        <x:f>L116*N116</x:f>
        <x:v>2662.7292003850957</x:v>
      </x:c>
      <x:c r="Q116" s="190" t="n">
        <x:f>O116+P116</x:f>
        <x:v>9275.203615064494</x:v>
      </x:c>
      <x:c r="R116" s="196" t="n">
        <x:f>J116-K116-L116</x:f>
        <x:v>0</x:v>
      </x:c>
    </x:row>
    <x:row r="117">
      <x:c r="A117" s="20" t="str">
        <x:v>慎重</x:v>
      </x:c>
      <x:c r="B117" s="20" t="n">
        <x:v>10</x:v>
      </x:c>
      <x:c r="C117" s="20" t="n">
        <x:v>5</x:v>
      </x:c>
      <x:c r="D117" s="189" t="n">
        <x:v>0.9</x:v>
      </x:c>
      <x:c r="E117" s="189" t="n">
        <x:v>1.1</x:v>
      </x:c>
      <x:c r="F117" s="189" t="n">
        <x:f>MAX(MIN('詳細設定'!$D$15+-0.05,1),0)</x:f>
        <x:v>0.35000000000000003</x:v>
      </x:c>
      <x:c r="G117" s="563" t="n">
        <x:f>'_計算月次'!$J$9</x:f>
        <x:v>552.2367574934775</x:v>
      </x:c>
      <x:c r="H117" s="563" t="n">
        <x:f>'_計算月次'!$K$9</x:f>
        <x:v>315.00000000000006</x:v>
      </x:c>
      <x:c r="I117" s="563" t="n">
        <x:f>(1-MAX(MIN('詳細設定'!$D$16,0.999999),0))^(B117-1)</x:f>
        <x:v>1</x:v>
      </x:c>
      <x:c r="J117" s="563" t="n">
        <x:f>MAX(G117*D117*I117,0)</x:f>
        <x:v>497.01308174412975</x:v>
      </x:c>
      <x:c r="K117" s="563" t="n">
        <x:f>MAX(MIN(J117*F117,H117),0)</x:f>
        <x:v>173.95457861044542</x:v>
      </x:c>
      <x:c r="L117" s="563" t="n">
        <x:f>MAX(J117-K117,0)</x:f>
        <x:v>323.0585031336843</x:v>
      </x:c>
      <x:c r="M117" s="185" t="n">
        <x:f>MAX('詳細設定'!$D$6,0)*(1+'詳細設定'!$D$21)^(B117-1)</x:f>
        <x:v>38.27898454395263</x:v>
      </x:c>
      <x:c r="N117" s="185" t="n">
        <x:f>IF(B117&lt;=MAX(MIN('詳細設定'!$D$8,20),0),MAX('詳細設定'!$D$7,0),IF(B117&lt;=MAX(MIN('詳細設定'!$D$10,20),0),MAX('詳細設定'!$D$9,0),MAX('詳細設定'!$D$11,0)))</x:f>
        <x:v>8.3</x:v>
      </x:c>
      <x:c r="O117" s="190" t="n">
        <x:f>K117*M117</x:f>
        <x:v>6658.8046259790335</x:v>
      </x:c>
      <x:c r="P117" s="190" t="n">
        <x:f>L117*N117</x:f>
        <x:v>2681.3855760095803</x:v>
      </x:c>
      <x:c r="Q117" s="190" t="n">
        <x:f>O117+P117</x:f>
        <x:v>9340.190201988615</x:v>
      </x:c>
      <x:c r="R117" s="196" t="n">
        <x:f>J117-K117-L117</x:f>
        <x:v>0</x:v>
      </x:c>
    </x:row>
    <x:row r="118">
      <x:c r="A118" s="20" t="str">
        <x:v>慎重</x:v>
      </x:c>
      <x:c r="B118" s="20" t="n">
        <x:v>10</x:v>
      </x:c>
      <x:c r="C118" s="20" t="n">
        <x:v>6</x:v>
      </x:c>
      <x:c r="D118" s="189" t="n">
        <x:v>0.9</x:v>
      </x:c>
      <x:c r="E118" s="189" t="n">
        <x:v>1.1</x:v>
      </x:c>
      <x:c r="F118" s="189" t="n">
        <x:f>MAX(MIN('詳細設定'!$D$15+-0.05,1),0)</x:f>
        <x:v>0.35000000000000003</x:v>
      </x:c>
      <x:c r="G118" s="563" t="n">
        <x:f>'_計算月次'!$J$10</x:f>
        <x:v>448.7994857612148</x:v>
      </x:c>
      <x:c r="H118" s="563" t="n">
        <x:f>'_計算月次'!$K$10</x:f>
        <x:v>360</x:v>
      </x:c>
      <x:c r="I118" s="563" t="n">
        <x:f>(1-MAX(MIN('詳細設定'!$D$16,0.999999),0))^(B118-1)</x:f>
        <x:v>1</x:v>
      </x:c>
      <x:c r="J118" s="563" t="n">
        <x:f>MAX(G118*D118*I118,0)</x:f>
        <x:v>403.9195371850933</x:v>
      </x:c>
      <x:c r="K118" s="563" t="n">
        <x:f>MAX(MIN(J118*F118,H118),0)</x:f>
        <x:v>141.37183801478267</x:v>
      </x:c>
      <x:c r="L118" s="563" t="n">
        <x:f>MAX(J118-K118,0)</x:f>
        <x:v>262.54769917031064</x:v>
      </x:c>
      <x:c r="M118" s="185" t="n">
        <x:f>MAX('詳細設定'!$D$6,0)*(1+'詳細設定'!$D$21)^(B118-1)</x:f>
        <x:v>38.27898454395263</x:v>
      </x:c>
      <x:c r="N118" s="185" t="n">
        <x:f>IF(B118&lt;=MAX(MIN('詳細設定'!$D$8,20),0),MAX('詳細設定'!$D$7,0),IF(B118&lt;=MAX(MIN('詳細設定'!$D$10,20),0),MAX('詳細設定'!$D$9,0),MAX('詳細設定'!$D$11,0)))</x:f>
        <x:v>8.3</x:v>
      </x:c>
      <x:c r="O118" s="190" t="n">
        <x:f>K118*M118</x:f>
        <x:v>5411.570402318041</x:v>
      </x:c>
      <x:c r="P118" s="190" t="n">
        <x:f>L118*N118</x:f>
        <x:v>2179.1459031135782</x:v>
      </x:c>
      <x:c r="Q118" s="190" t="n">
        <x:f>O118+P118</x:f>
        <x:v>7590.716305431619</x:v>
      </x:c>
      <x:c r="R118" s="196" t="n">
        <x:f>J118-K118-L118</x:f>
        <x:v>0</x:v>
      </x:c>
    </x:row>
    <x:row r="119">
      <x:c r="A119" s="20" t="str">
        <x:v>慎重</x:v>
      </x:c>
      <x:c r="B119" s="20" t="n">
        <x:v>10</x:v>
      </x:c>
      <x:c r="C119" s="20" t="n">
        <x:v>7</x:v>
      </x:c>
      <x:c r="D119" s="189" t="n">
        <x:v>0.9</x:v>
      </x:c>
      <x:c r="E119" s="189" t="n">
        <x:v>1.1</x:v>
      </x:c>
      <x:c r="F119" s="189" t="n">
        <x:f>MAX(MIN('詳細設定'!$D$15+-0.05,1),0)</x:f>
        <x:v>0.35000000000000003</x:v>
      </x:c>
      <x:c r="G119" s="563" t="n">
        <x:f>'_計算月次'!$J$11</x:f>
        <x:v>476.0181638067866</x:v>
      </x:c>
      <x:c r="H119" s="563" t="n">
        <x:f>'_計算月次'!$K$11</x:f>
        <x:v>405</x:v>
      </x:c>
      <x:c r="I119" s="563" t="n">
        <x:f>(1-MAX(MIN('詳細設定'!$D$16,0.999999),0))^(B119-1)</x:f>
        <x:v>1</x:v>
      </x:c>
      <x:c r="J119" s="563" t="n">
        <x:f>MAX(G119*D119*I119,0)</x:f>
        <x:v>428.41634742610796</x:v>
      </x:c>
      <x:c r="K119" s="563" t="n">
        <x:f>MAX(MIN(J119*F119,H119),0)</x:f>
        <x:v>149.9457215991378</x:v>
      </x:c>
      <x:c r="L119" s="563" t="n">
        <x:f>MAX(J119-K119,0)</x:f>
        <x:v>278.47062582697015</x:v>
      </x:c>
      <x:c r="M119" s="185" t="n">
        <x:f>MAX('詳細設定'!$D$6,0)*(1+'詳細設定'!$D$21)^(B119-1)</x:f>
        <x:v>38.27898454395263</x:v>
      </x:c>
      <x:c r="N119" s="185" t="n">
        <x:f>IF(B119&lt;=MAX(MIN('詳細設定'!$D$8,20),0),MAX('詳細設定'!$D$7,0),IF(B119&lt;=MAX(MIN('詳細設定'!$D$10,20),0),MAX('詳細設定'!$D$9,0),MAX('詳細設定'!$D$11,0)))</x:f>
        <x:v>8.3</x:v>
      </x:c>
      <x:c r="O119" s="190" t="n">
        <x:f>K119*M119</x:f>
        <x:v>5739.769959525221</x:v>
      </x:c>
      <x:c r="P119" s="190" t="n">
        <x:f>L119*N119</x:f>
        <x:v>2311.3061943638522</x:v>
      </x:c>
      <x:c r="Q119" s="190" t="n">
        <x:f>O119+P119</x:f>
        <x:v>8051.076153889073</x:v>
      </x:c>
      <x:c r="R119" s="196" t="n">
        <x:f>J119-K119-L119</x:f>
        <x:v>0</x:v>
      </x:c>
    </x:row>
    <x:row r="120">
      <x:c r="A120" s="20" t="str">
        <x:v>慎重</x:v>
      </x:c>
      <x:c r="B120" s="20" t="n">
        <x:v>10</x:v>
      </x:c>
      <x:c r="C120" s="20" t="n">
        <x:v>8</x:v>
      </x:c>
      <x:c r="D120" s="189" t="n">
        <x:v>0.9</x:v>
      </x:c>
      <x:c r="E120" s="189" t="n">
        <x:v>1.1</x:v>
      </x:c>
      <x:c r="F120" s="189" t="n">
        <x:f>MAX(MIN('詳細設定'!$D$15+-0.05,1),0)</x:f>
        <x:v>0.35000000000000003</x:v>
      </x:c>
      <x:c r="G120" s="563" t="n">
        <x:f>'_計算月次'!$J$12</x:f>
        <x:v>528.6548067323699</x:v>
      </x:c>
      <x:c r="H120" s="563" t="n">
        <x:f>'_計算月次'!$K$12</x:f>
        <x:v>450</x:v>
      </x:c>
      <x:c r="I120" s="563" t="n">
        <x:f>(1-MAX(MIN('詳細設定'!$D$16,0.999999),0))^(B120-1)</x:f>
        <x:v>1</x:v>
      </x:c>
      <x:c r="J120" s="563" t="n">
        <x:f>MAX(G120*D120*I120,0)</x:f>
        <x:v>475.789326059133</x:v>
      </x:c>
      <x:c r="K120" s="563" t="n">
        <x:f>MAX(MIN(J120*F120,H120),0)</x:f>
        <x:v>166.52626412069657</x:v>
      </x:c>
      <x:c r="L120" s="563" t="n">
        <x:f>MAX(J120-K120,0)</x:f>
        <x:v>309.2630619384364</x:v>
      </x:c>
      <x:c r="M120" s="185" t="n">
        <x:f>MAX('詳細設定'!$D$6,0)*(1+'詳細設定'!$D$21)^(B120-1)</x:f>
        <x:v>38.27898454395263</x:v>
      </x:c>
      <x:c r="N120" s="185" t="n">
        <x:f>IF(B120&lt;=MAX(MIN('詳細設定'!$D$8,20),0),MAX('詳細設定'!$D$7,0),IF(B120&lt;=MAX(MIN('詳細設定'!$D$10,20),0),MAX('詳細設定'!$D$9,0),MAX('詳細設定'!$D$11,0)))</x:f>
        <x:v>8.3</x:v>
      </x:c>
      <x:c r="O120" s="190" t="n">
        <x:f>K120*M120</x:f>
        <x:v>6374.456290438317</x:v>
      </x:c>
      <x:c r="P120" s="190" t="n">
        <x:f>L120*N120</x:f>
        <x:v>2566.8834140890226</x:v>
      </x:c>
      <x:c r="Q120" s="190" t="n">
        <x:f>O120+P120</x:f>
        <x:v>8941.33970452734</x:v>
      </x:c>
      <x:c r="R120" s="196" t="n">
        <x:f>J120-K120-L120</x:f>
        <x:v>0</x:v>
      </x:c>
    </x:row>
    <x:row r="121">
      <x:c r="A121" s="20" t="str">
        <x:v>慎重</x:v>
      </x:c>
      <x:c r="B121" s="20" t="n">
        <x:v>10</x:v>
      </x:c>
      <x:c r="C121" s="20" t="n">
        <x:v>9</x:v>
      </x:c>
      <x:c r="D121" s="189" t="n">
        <x:v>0.9</x:v>
      </x:c>
      <x:c r="E121" s="189" t="n">
        <x:v>1.1</x:v>
      </x:c>
      <x:c r="F121" s="189" t="n">
        <x:f>MAX(MIN('詳細設定'!$D$15+-0.05,1),0)</x:f>
        <x:v>0.35000000000000003</x:v>
      </x:c>
      <x:c r="G121" s="563" t="n">
        <x:f>'_計算月次'!$J$13</x:f>
        <x:v>436.37734765103465</x:v>
      </x:c>
      <x:c r="H121" s="563" t="n">
        <x:f>'_計算月次'!$K$13</x:f>
        <x:v>360</x:v>
      </x:c>
      <x:c r="I121" s="563" t="n">
        <x:f>(1-MAX(MIN('詳細設定'!$D$16,0.999999),0))^(B121-1)</x:f>
        <x:v>1</x:v>
      </x:c>
      <x:c r="J121" s="563" t="n">
        <x:f>MAX(G121*D121*I121,0)</x:f>
        <x:v>392.7396128859312</x:v>
      </x:c>
      <x:c r="K121" s="563" t="n">
        <x:f>MAX(MIN(J121*F121,H121),0)</x:f>
        <x:v>137.45886451007593</x:v>
      </x:c>
      <x:c r="L121" s="563" t="n">
        <x:f>MAX(J121-K121,0)</x:f>
        <x:v>255.28074837585527</x:v>
      </x:c>
      <x:c r="M121" s="185" t="n">
        <x:f>MAX('詳細設定'!$D$6,0)*(1+'詳細設定'!$D$21)^(B121-1)</x:f>
        <x:v>38.27898454395263</x:v>
      </x:c>
      <x:c r="N121" s="185" t="n">
        <x:f>IF(B121&lt;=MAX(MIN('詳細設定'!$D$8,20),0),MAX('詳細設定'!$D$7,0),IF(B121&lt;=MAX(MIN('詳細設定'!$D$10,20),0),MAX('詳細設定'!$D$9,0),MAX('詳細設定'!$D$11,0)))</x:f>
        <x:v>8.3</x:v>
      </x:c>
      <x:c r="O121" s="190" t="n">
        <x:f>K121*M121</x:f>
        <x:v>5261.785750010476</x:v>
      </x:c>
      <x:c r="P121" s="190" t="n">
        <x:f>L121*N121</x:f>
        <x:v>2118.830211519599</x:v>
      </x:c>
      <x:c r="Q121" s="190" t="n">
        <x:f>O121+P121</x:f>
        <x:v>7380.615961530075</x:v>
      </x:c>
      <x:c r="R121" s="196" t="n">
        <x:f>J121-K121-L121</x:f>
        <x:v>0</x:v>
      </x:c>
    </x:row>
    <x:row r="122">
      <x:c r="A122" s="20" t="str">
        <x:v>慎重</x:v>
      </x:c>
      <x:c r="B122" s="20" t="n">
        <x:v>10</x:v>
      </x:c>
      <x:c r="C122" s="20" t="n">
        <x:v>10</x:v>
      </x:c>
      <x:c r="D122" s="189" t="n">
        <x:v>0.9</x:v>
      </x:c>
      <x:c r="E122" s="189" t="n">
        <x:v>1.1</x:v>
      </x:c>
      <x:c r="F122" s="189" t="n">
        <x:f>MAX(MIN('詳細設定'!$D$15+-0.05,1),0)</x:f>
        <x:v>0.35000000000000003</x:v>
      </x:c>
      <x:c r="G122" s="563" t="n">
        <x:f>'_計算月次'!$J$14</x:f>
        <x:v>408.8269849869007</x:v>
      </x:c>
      <x:c r="H122" s="563" t="n">
        <x:f>'_計算月次'!$K$14</x:f>
        <x:v>315.00000000000006</x:v>
      </x:c>
      <x:c r="I122" s="563" t="n">
        <x:f>(1-MAX(MIN('詳細設定'!$D$16,0.999999),0))^(B122-1)</x:f>
        <x:v>1</x:v>
      </x:c>
      <x:c r="J122" s="563" t="n">
        <x:f>MAX(G122*D122*I122,0)</x:f>
        <x:v>367.94428648821065</x:v>
      </x:c>
      <x:c r="K122" s="563" t="n">
        <x:f>MAX(MIN(J122*F122,H122),0)</x:f>
        <x:v>128.78050027087374</x:v>
      </x:c>
      <x:c r="L122" s="563" t="n">
        <x:f>MAX(J122-K122,0)</x:f>
        <x:v>239.1637862173369</x:v>
      </x:c>
      <x:c r="M122" s="185" t="n">
        <x:f>MAX('詳細設定'!$D$6,0)*(1+'詳細設定'!$D$21)^(B122-1)</x:f>
        <x:v>38.27898454395263</x:v>
      </x:c>
      <x:c r="N122" s="185" t="n">
        <x:f>IF(B122&lt;=MAX(MIN('詳細設定'!$D$8,20),0),MAX('詳細設定'!$D$7,0),IF(B122&lt;=MAX(MIN('詳細設定'!$D$10,20),0),MAX('詳細設定'!$D$9,0),MAX('詳細設定'!$D$11,0)))</x:f>
        <x:v>8.3</x:v>
      </x:c>
      <x:c r="O122" s="190" t="n">
        <x:f>K122*M122</x:f>
        <x:v>4929.5867794312635</x:v>
      </x:c>
      <x:c r="P122" s="190" t="n">
        <x:f>L122*N122</x:f>
        <x:v>1985.0594256038964</x:v>
      </x:c>
      <x:c r="Q122" s="190" t="n">
        <x:f>O122+P122</x:f>
        <x:v>6914.64620503516</x:v>
      </x:c>
      <x:c r="R122" s="196" t="n">
        <x:f>J122-K122-L122</x:f>
        <x:v>0</x:v>
      </x:c>
    </x:row>
    <x:row r="123">
      <x:c r="A123" s="20" t="str">
        <x:v>慎重</x:v>
      </x:c>
      <x:c r="B123" s="20" t="n">
        <x:v>10</x:v>
      </x:c>
      <x:c r="C123" s="20" t="n">
        <x:v>11</x:v>
      </x:c>
      <x:c r="D123" s="189" t="n">
        <x:v>0.9</x:v>
      </x:c>
      <x:c r="E123" s="189" t="n">
        <x:v>1.1</x:v>
      </x:c>
      <x:c r="F123" s="189" t="n">
        <x:f>MAX(MIN('詳細設定'!$D$15+-0.05,1),0)</x:f>
        <x:v>0.35000000000000003</x:v>
      </x:c>
      <x:c r="G123" s="563" t="n">
        <x:f>'_計算月次'!$J$15</x:f>
        <x:v>398.45169764745054</x:v>
      </x:c>
      <x:c r="H123" s="563" t="n">
        <x:f>'_計算月次'!$K$15</x:f>
        <x:v>360</x:v>
      </x:c>
      <x:c r="I123" s="563" t="n">
        <x:f>(1-MAX(MIN('詳細設定'!$D$16,0.999999),0))^(B123-1)</x:f>
        <x:v>1</x:v>
      </x:c>
      <x:c r="J123" s="563" t="n">
        <x:f>MAX(G123*D123*I123,0)</x:f>
        <x:v>358.6065278827055</x:v>
      </x:c>
      <x:c r="K123" s="563" t="n">
        <x:f>MAX(MIN(J123*F123,H123),0)</x:f>
        <x:v>125.51228475894693</x:v>
      </x:c>
      <x:c r="L123" s="563" t="n">
        <x:f>MAX(J123-K123,0)</x:f>
        <x:v>233.0942431237586</x:v>
      </x:c>
      <x:c r="M123" s="185" t="n">
        <x:f>MAX('詳細設定'!$D$6,0)*(1+'詳細設定'!$D$21)^(B123-1)</x:f>
        <x:v>38.27898454395263</x:v>
      </x:c>
      <x:c r="N123" s="185" t="n">
        <x:f>IF(B123&lt;=MAX(MIN('詳細設定'!$D$8,20),0),MAX('詳細設定'!$D$7,0),IF(B123&lt;=MAX(MIN('詳細設定'!$D$10,20),0),MAX('詳細設定'!$D$9,0),MAX('詳細設定'!$D$11,0)))</x:f>
        <x:v>8.3</x:v>
      </x:c>
      <x:c r="O123" s="190" t="n">
        <x:f>K123*M123</x:f>
        <x:v>4804.482808363911</x:v>
      </x:c>
      <x:c r="P123" s="190" t="n">
        <x:f>L123*N123</x:f>
        <x:v>1934.6822179271965</x:v>
      </x:c>
      <x:c r="Q123" s="190" t="n">
        <x:f>O123+P123</x:f>
        <x:v>6739.165026291108</x:v>
      </x:c>
      <x:c r="R123" s="196" t="n">
        <x:f>J123-K123-L123</x:f>
        <x:v>0</x:v>
      </x:c>
    </x:row>
    <x:row r="124">
      <x:c r="A124" s="20" t="str">
        <x:v>慎重</x:v>
      </x:c>
      <x:c r="B124" s="20" t="n">
        <x:v>10</x:v>
      </x:c>
      <x:c r="C124" s="20" t="n">
        <x:v>12</x:v>
      </x:c>
      <x:c r="D124" s="189" t="n">
        <x:v>0.9</x:v>
      </x:c>
      <x:c r="E124" s="189" t="n">
        <x:v>1.1</x:v>
      </x:c>
      <x:c r="F124" s="189" t="n">
        <x:f>MAX(MIN('詳細設定'!$D$15+-0.05,1),0)</x:f>
        <x:v>0.35000000000000003</x:v>
      </x:c>
      <x:c r="G124" s="563" t="n">
        <x:f>'_計算月次'!$J$16</x:f>
        <x:v>443.97248688000184</x:v>
      </x:c>
      <x:c r="H124" s="563" t="n">
        <x:f>'_計算月次'!$K$16</x:f>
        <x:v>405</x:v>
      </x:c>
      <x:c r="I124" s="563" t="n">
        <x:f>(1-MAX(MIN('詳細設定'!$D$16,0.999999),0))^(B124-1)</x:f>
        <x:v>1</x:v>
      </x:c>
      <x:c r="J124" s="563" t="n">
        <x:f>MAX(G124*D124*I124,0)</x:f>
        <x:v>399.5752381920017</x:v>
      </x:c>
      <x:c r="K124" s="563" t="n">
        <x:f>MAX(MIN(J124*F124,H124),0)</x:f>
        <x:v>139.8513333672006</x:v>
      </x:c>
      <x:c r="L124" s="563" t="n">
        <x:f>MAX(J124-K124,0)</x:f>
        <x:v>259.7239048248011</x:v>
      </x:c>
      <x:c r="M124" s="185" t="n">
        <x:f>MAX('詳細設定'!$D$6,0)*(1+'詳細設定'!$D$21)^(B124-1)</x:f>
        <x:v>38.27898454395263</x:v>
      </x:c>
      <x:c r="N124" s="185" t="n">
        <x:f>IF(B124&lt;=MAX(MIN('詳細設定'!$D$8,20),0),MAX('詳細設定'!$D$7,0),IF(B124&lt;=MAX(MIN('詳細設定'!$D$10,20),0),MAX('詳細設定'!$D$9,0),MAX('詳細設定'!$D$11,0)))</x:f>
        <x:v>8.3</x:v>
      </x:c>
      <x:c r="O124" s="190" t="n">
        <x:f>K124*M124</x:f>
        <x:v>5353.367028414238</x:v>
      </x:c>
      <x:c r="P124" s="190" t="n">
        <x:f>L124*N124</x:f>
        <x:v>2155.708410045849</x:v>
      </x:c>
      <x:c r="Q124" s="190" t="n">
        <x:f>O124+P124</x:f>
        <x:v>7509.075438460088</x:v>
      </x:c>
      <x:c r="R124" s="196" t="n">
        <x:f>J124-K124-L124</x:f>
        <x:v>0</x:v>
      </x:c>
    </x:row>
    <x:row r="125">
      <x:c r="A125" s="20" t="str">
        <x:v>慎重</x:v>
      </x:c>
      <x:c r="B125" s="20" t="n">
        <x:v>11</x:v>
      </x:c>
      <x:c r="C125" s="20" t="n">
        <x:v>1</x:v>
      </x:c>
      <x:c r="D125" s="189" t="n">
        <x:v>0.9</x:v>
      </x:c>
      <x:c r="E125" s="189" t="n">
        <x:v>1.1</x:v>
      </x:c>
      <x:c r="F125" s="189" t="n">
        <x:f>MAX(MIN('詳細設定'!$D$15+-0.05,1),0)</x:f>
        <x:v>0.35000000000000003</x:v>
      </x:c>
      <x:c r="G125" s="563" t="n">
        <x:f>'_計算月次'!$J$5</x:f>
        <x:v>502.4147595742038</x:v>
      </x:c>
      <x:c r="H125" s="563" t="n">
        <x:f>'_計算月次'!$K$5</x:f>
        <x:v>450</x:v>
      </x:c>
      <x:c r="I125" s="563" t="n">
        <x:f>(1-MAX(MIN('詳細設定'!$D$16,0.999999),0))^(B125-1)</x:f>
        <x:v>1</x:v>
      </x:c>
      <x:c r="J125" s="563" t="n">
        <x:f>MAX(G125*D125*I125,0)</x:f>
        <x:v>452.1732836167834</x:v>
      </x:c>
      <x:c r="K125" s="563" t="n">
        <x:f>MAX(MIN(J125*F125,H125),0)</x:f>
        <x:v>158.2606492658742</x:v>
      </x:c>
      <x:c r="L125" s="563" t="n">
        <x:f>MAX(J125-K125,0)</x:f>
        <x:v>293.91263435090923</x:v>
      </x:c>
      <x:c r="M125" s="185" t="n">
        <x:f>MAX('詳細設定'!$D$6,0)*(1+'詳細設定'!$D$21)^(B125-1)</x:f>
        <x:v>38.66177438939216</x:v>
      </x:c>
      <x:c r="N125" s="185" t="n">
        <x:f>IF(B125&lt;=MAX(MIN('詳細設定'!$D$8,20),0),MAX('詳細設定'!$D$7,0),IF(B125&lt;=MAX(MIN('詳細設定'!$D$10,20),0),MAX('詳細設定'!$D$9,0),MAX('詳細設定'!$D$11,0)))</x:f>
        <x:v>8.3</x:v>
      </x:c>
      <x:c r="O125" s="190" t="n">
        <x:f>K125*M125</x:f>
        <x:v>6118.63751663595</x:v>
      </x:c>
      <x:c r="P125" s="190" t="n">
        <x:f>L125*N125</x:f>
        <x:v>2439.474865112547</x:v>
      </x:c>
      <x:c r="Q125" s="190" t="n">
        <x:f>O125+P125</x:f>
        <x:v>8558.112381748497</x:v>
      </x:c>
      <x:c r="R125" s="196" t="n">
        <x:f>J125-K125-L125</x:f>
        <x:v>0</x:v>
      </x:c>
    </x:row>
    <x:row r="126">
      <x:c r="A126" s="20" t="str">
        <x:v>慎重</x:v>
      </x:c>
      <x:c r="B126" s="20" t="n">
        <x:v>11</x:v>
      </x:c>
      <x:c r="C126" s="20" t="n">
        <x:v>2</x:v>
      </x:c>
      <x:c r="D126" s="189" t="n">
        <x:v>0.9</x:v>
      </x:c>
      <x:c r="E126" s="189" t="n">
        <x:v>1.1</x:v>
      </x:c>
      <x:c r="F126" s="189" t="n">
        <x:f>MAX(MIN('詳細設定'!$D$15+-0.05,1),0)</x:f>
        <x:v>0.35000000000000003</x:v>
      </x:c>
      <x:c r="G126" s="563" t="n">
        <x:f>'_計算月次'!$J$6</x:f>
        <x:v>472.4508339500229</x:v>
      </x:c>
      <x:c r="H126" s="563" t="n">
        <x:f>'_計算月次'!$K$6</x:f>
        <x:v>405</x:v>
      </x:c>
      <x:c r="I126" s="563" t="n">
        <x:f>(1-MAX(MIN('詳細設定'!$D$16,0.999999),0))^(B126-1)</x:f>
        <x:v>1</x:v>
      </x:c>
      <x:c r="J126" s="563" t="n">
        <x:f>MAX(G126*D126*I126,0)</x:f>
        <x:v>425.20575055502064</x:v>
      </x:c>
      <x:c r="K126" s="563" t="n">
        <x:f>MAX(MIN(J126*F126,H126),0)</x:f>
        <x:v>148.82201269425724</x:v>
      </x:c>
      <x:c r="L126" s="563" t="n">
        <x:f>MAX(J126-K126,0)</x:f>
        <x:v>276.3837378607634</x:v>
      </x:c>
      <x:c r="M126" s="185" t="n">
        <x:f>MAX('詳細設定'!$D$6,0)*(1+'詳細設定'!$D$21)^(B126-1)</x:f>
        <x:v>38.66177438939216</x:v>
      </x:c>
      <x:c r="N126" s="185" t="n">
        <x:f>IF(B126&lt;=MAX(MIN('詳細設定'!$D$8,20),0),MAX('詳細設定'!$D$7,0),IF(B126&lt;=MAX(MIN('詳細設定'!$D$10,20),0),MAX('詳細設定'!$D$9,0),MAX('詳細設定'!$D$11,0)))</x:f>
        <x:v>8.3</x:v>
      </x:c>
      <x:c r="O126" s="190" t="n">
        <x:f>K126*M126</x:f>
        <x:v>5753.723078960629</x:v>
      </x:c>
      <x:c r="P126" s="190" t="n">
        <x:f>L126*N126</x:f>
        <x:v>2293.9850242443363</x:v>
      </x:c>
      <x:c r="Q126" s="190" t="n">
        <x:f>O126+P126</x:f>
        <x:v>8047.7081032049655</x:v>
      </x:c>
      <x:c r="R126" s="196" t="n">
        <x:f>J126-K126-L126</x:f>
        <x:v>0</x:v>
      </x:c>
    </x:row>
    <x:row r="127">
      <x:c r="A127" s="20" t="str">
        <x:v>慎重</x:v>
      </x:c>
      <x:c r="B127" s="20" t="n">
        <x:v>11</x:v>
      </x:c>
      <x:c r="C127" s="20" t="n">
        <x:v>3</x:v>
      </x:c>
      <x:c r="D127" s="189" t="n">
        <x:v>0.9</x:v>
      </x:c>
      <x:c r="E127" s="189" t="n">
        <x:v>1.1</x:v>
      </x:c>
      <x:c r="F127" s="189" t="n">
        <x:f>MAX(MIN('詳細設定'!$D$15+-0.05,1),0)</x:f>
        <x:v>0.35000000000000003</x:v>
      </x:c>
      <x:c r="G127" s="563" t="n">
        <x:f>'_計算月次'!$J$7</x:f>
        <x:v>548.3418864753118</x:v>
      </x:c>
      <x:c r="H127" s="563" t="n">
        <x:f>'_計算月次'!$K$7</x:f>
        <x:v>360</x:v>
      </x:c>
      <x:c r="I127" s="563" t="n">
        <x:f>(1-MAX(MIN('詳細設定'!$D$16,0.999999),0))^(B127-1)</x:f>
        <x:v>1</x:v>
      </x:c>
      <x:c r="J127" s="563" t="n">
        <x:f>MAX(G127*D127*I127,0)</x:f>
        <x:v>493.5076978277806</x:v>
      </x:c>
      <x:c r="K127" s="563" t="n">
        <x:f>MAX(MIN(J127*F127,H127),0)</x:f>
        <x:v>172.72769423972323</x:v>
      </x:c>
      <x:c r="L127" s="563" t="n">
        <x:f>MAX(J127-K127,0)</x:f>
        <x:v>320.78000358805735</x:v>
      </x:c>
      <x:c r="M127" s="185" t="n">
        <x:f>MAX('詳細設定'!$D$6,0)*(1+'詳細設定'!$D$21)^(B127-1)</x:f>
        <x:v>38.66177438939216</x:v>
      </x:c>
      <x:c r="N127" s="185" t="n">
        <x:f>IF(B127&lt;=MAX(MIN('詳細設定'!$D$8,20),0),MAX('詳細設定'!$D$7,0),IF(B127&lt;=MAX(MIN('詳細設定'!$D$10,20),0),MAX('詳細設定'!$D$9,0),MAX('詳細設定'!$D$11,0)))</x:f>
        <x:v>8.3</x:v>
      </x:c>
      <x:c r="O127" s="190" t="n">
        <x:f>K127*M127</x:f>
        <x:v>6677.959145496091</x:v>
      </x:c>
      <x:c r="P127" s="190" t="n">
        <x:f>L127*N127</x:f>
        <x:v>2662.474029780876</x:v>
      </x:c>
      <x:c r="Q127" s="190" t="n">
        <x:f>O127+P127</x:f>
        <x:v>9340.433175276967</x:v>
      </x:c>
      <x:c r="R127" s="196" t="n">
        <x:f>J127-K127-L127</x:f>
        <x:v>0</x:v>
      </x:c>
    </x:row>
    <x:row r="128">
      <x:c r="A128" s="20" t="str">
        <x:v>慎重</x:v>
      </x:c>
      <x:c r="B128" s="20" t="n">
        <x:v>11</x:v>
      </x:c>
      <x:c r="C128" s="20" t="n">
        <x:v>4</x:v>
      </x:c>
      <x:c r="D128" s="189" t="n">
        <x:v>0.9</x:v>
      </x:c>
      <x:c r="E128" s="189" t="n">
        <x:v>1.1</x:v>
      </x:c>
      <x:c r="F128" s="189" t="n">
        <x:f>MAX(MIN('詳細設定'!$D$15+-0.05,1),0)</x:f>
        <x:v>0.35000000000000003</x:v>
      </x:c>
      <x:c r="G128" s="563" t="n">
        <x:f>'_計算月次'!$J$8</x:f>
        <x:v>548.3944393749554</x:v>
      </x:c>
      <x:c r="H128" s="563" t="n">
        <x:f>'_計算月次'!$K$8</x:f>
        <x:v>315.00000000000006</x:v>
      </x:c>
      <x:c r="I128" s="563" t="n">
        <x:f>(1-MAX(MIN('詳細設定'!$D$16,0.999999),0))^(B128-1)</x:f>
        <x:v>1</x:v>
      </x:c>
      <x:c r="J128" s="563" t="n">
        <x:f>MAX(G128*D128*I128,0)</x:f>
        <x:v>493.55499543745987</x:v>
      </x:c>
      <x:c r="K128" s="563" t="n">
        <x:f>MAX(MIN(J128*F128,H128),0)</x:f>
        <x:v>172.74424840311096</x:v>
      </x:c>
      <x:c r="L128" s="563" t="n">
        <x:f>MAX(J128-K128,0)</x:f>
        <x:v>320.8107470343489</x:v>
      </x:c>
      <x:c r="M128" s="185" t="n">
        <x:f>MAX('詳細設定'!$D$6,0)*(1+'詳細設定'!$D$21)^(B128-1)</x:f>
        <x:v>38.66177438939216</x:v>
      </x:c>
      <x:c r="N128" s="185" t="n">
        <x:f>IF(B128&lt;=MAX(MIN('詳細設定'!$D$8,20),0),MAX('詳細設定'!$D$7,0),IF(B128&lt;=MAX(MIN('詳細設定'!$D$10,20),0),MAX('詳細設定'!$D$9,0),MAX('詳細設定'!$D$11,0)))</x:f>
        <x:v>8.3</x:v>
      </x:c>
      <x:c r="O128" s="190" t="n">
        <x:f>K128*M128</x:f>
        <x:v>6678.599158826192</x:v>
      </x:c>
      <x:c r="P128" s="190" t="n">
        <x:f>L128*N128</x:f>
        <x:v>2662.7292003850957</x:v>
      </x:c>
      <x:c r="Q128" s="190" t="n">
        <x:f>O128+P128</x:f>
        <x:v>9341.328359211288</x:v>
      </x:c>
      <x:c r="R128" s="196" t="n">
        <x:f>J128-K128-L128</x:f>
        <x:v>0</x:v>
      </x:c>
    </x:row>
    <x:row r="129">
      <x:c r="A129" s="20" t="str">
        <x:v>慎重</x:v>
      </x:c>
      <x:c r="B129" s="20" t="n">
        <x:v>11</x:v>
      </x:c>
      <x:c r="C129" s="20" t="n">
        <x:v>5</x:v>
      </x:c>
      <x:c r="D129" s="189" t="n">
        <x:v>0.9</x:v>
      </x:c>
      <x:c r="E129" s="189" t="n">
        <x:v>1.1</x:v>
      </x:c>
      <x:c r="F129" s="189" t="n">
        <x:f>MAX(MIN('詳細設定'!$D$15+-0.05,1),0)</x:f>
        <x:v>0.35000000000000003</x:v>
      </x:c>
      <x:c r="G129" s="563" t="n">
        <x:f>'_計算月次'!$J$9</x:f>
        <x:v>552.2367574934775</x:v>
      </x:c>
      <x:c r="H129" s="563" t="n">
        <x:f>'_計算月次'!$K$9</x:f>
        <x:v>315.00000000000006</x:v>
      </x:c>
      <x:c r="I129" s="563" t="n">
        <x:f>(1-MAX(MIN('詳細設定'!$D$16,0.999999),0))^(B129-1)</x:f>
        <x:v>1</x:v>
      </x:c>
      <x:c r="J129" s="563" t="n">
        <x:f>MAX(G129*D129*I129,0)</x:f>
        <x:v>497.01308174412975</x:v>
      </x:c>
      <x:c r="K129" s="563" t="n">
        <x:f>MAX(MIN(J129*F129,H129),0)</x:f>
        <x:v>173.95457861044542</x:v>
      </x:c>
      <x:c r="L129" s="563" t="n">
        <x:f>MAX(J129-K129,0)</x:f>
        <x:v>323.0585031336843</x:v>
      </x:c>
      <x:c r="M129" s="185" t="n">
        <x:f>MAX('詳細設定'!$D$6,0)*(1+'詳細設定'!$D$21)^(B129-1)</x:f>
        <x:v>38.66177438939216</x:v>
      </x:c>
      <x:c r="N129" s="185" t="n">
        <x:f>IF(B129&lt;=MAX(MIN('詳細設定'!$D$8,20),0),MAX('詳細設定'!$D$7,0),IF(B129&lt;=MAX(MIN('詳細設定'!$D$10,20),0),MAX('詳細設定'!$D$9,0),MAX('詳細設定'!$D$11,0)))</x:f>
        <x:v>8.3</x:v>
      </x:c>
      <x:c r="O129" s="190" t="n">
        <x:f>K129*M129</x:f>
        <x:v>6725.392672238823</x:v>
      </x:c>
      <x:c r="P129" s="190" t="n">
        <x:f>L129*N129</x:f>
        <x:v>2681.3855760095803</x:v>
      </x:c>
      <x:c r="Q129" s="190" t="n">
        <x:f>O129+P129</x:f>
        <x:v>9406.778248248404</x:v>
      </x:c>
      <x:c r="R129" s="196" t="n">
        <x:f>J129-K129-L129</x:f>
        <x:v>0</x:v>
      </x:c>
    </x:row>
    <x:row r="130">
      <x:c r="A130" s="20" t="str">
        <x:v>慎重</x:v>
      </x:c>
      <x:c r="B130" s="20" t="n">
        <x:v>11</x:v>
      </x:c>
      <x:c r="C130" s="20" t="n">
        <x:v>6</x:v>
      </x:c>
      <x:c r="D130" s="189" t="n">
        <x:v>0.9</x:v>
      </x:c>
      <x:c r="E130" s="189" t="n">
        <x:v>1.1</x:v>
      </x:c>
      <x:c r="F130" s="189" t="n">
        <x:f>MAX(MIN('詳細設定'!$D$15+-0.05,1),0)</x:f>
        <x:v>0.35000000000000003</x:v>
      </x:c>
      <x:c r="G130" s="563" t="n">
        <x:f>'_計算月次'!$J$10</x:f>
        <x:v>448.7994857612148</x:v>
      </x:c>
      <x:c r="H130" s="563" t="n">
        <x:f>'_計算月次'!$K$10</x:f>
        <x:v>360</x:v>
      </x:c>
      <x:c r="I130" s="563" t="n">
        <x:f>(1-MAX(MIN('詳細設定'!$D$16,0.999999),0))^(B130-1)</x:f>
        <x:v>1</x:v>
      </x:c>
      <x:c r="J130" s="563" t="n">
        <x:f>MAX(G130*D130*I130,0)</x:f>
        <x:v>403.9195371850933</x:v>
      </x:c>
      <x:c r="K130" s="563" t="n">
        <x:f>MAX(MIN(J130*F130,H130),0)</x:f>
        <x:v>141.37183801478267</x:v>
      </x:c>
      <x:c r="L130" s="563" t="n">
        <x:f>MAX(J130-K130,0)</x:f>
        <x:v>262.54769917031064</x:v>
      </x:c>
      <x:c r="M130" s="185" t="n">
        <x:f>MAX('詳細設定'!$D$6,0)*(1+'詳細設定'!$D$21)^(B130-1)</x:f>
        <x:v>38.66177438939216</x:v>
      </x:c>
      <x:c r="N130" s="185" t="n">
        <x:f>IF(B130&lt;=MAX(MIN('詳細設定'!$D$8,20),0),MAX('詳細設定'!$D$7,0),IF(B130&lt;=MAX(MIN('詳細設定'!$D$10,20),0),MAX('詳細設定'!$D$9,0),MAX('詳細設定'!$D$11,0)))</x:f>
        <x:v>8.3</x:v>
      </x:c>
      <x:c r="O130" s="190" t="n">
        <x:f>K130*M130</x:f>
        <x:v>5465.686106341221</x:v>
      </x:c>
      <x:c r="P130" s="190" t="n">
        <x:f>L130*N130</x:f>
        <x:v>2179.1459031135782</x:v>
      </x:c>
      <x:c r="Q130" s="190" t="n">
        <x:f>O130+P130</x:f>
        <x:v>7644.832009454799</x:v>
      </x:c>
      <x:c r="R130" s="196" t="n">
        <x:f>J130-K130-L130</x:f>
        <x:v>0</x:v>
      </x:c>
    </x:row>
    <x:row r="131">
      <x:c r="A131" s="20" t="str">
        <x:v>慎重</x:v>
      </x:c>
      <x:c r="B131" s="20" t="n">
        <x:v>11</x:v>
      </x:c>
      <x:c r="C131" s="20" t="n">
        <x:v>7</x:v>
      </x:c>
      <x:c r="D131" s="189" t="n">
        <x:v>0.9</x:v>
      </x:c>
      <x:c r="E131" s="189" t="n">
        <x:v>1.1</x:v>
      </x:c>
      <x:c r="F131" s="189" t="n">
        <x:f>MAX(MIN('詳細設定'!$D$15+-0.05,1),0)</x:f>
        <x:v>0.35000000000000003</x:v>
      </x:c>
      <x:c r="G131" s="563" t="n">
        <x:f>'_計算月次'!$J$11</x:f>
        <x:v>476.0181638067866</x:v>
      </x:c>
      <x:c r="H131" s="563" t="n">
        <x:f>'_計算月次'!$K$11</x:f>
        <x:v>405</x:v>
      </x:c>
      <x:c r="I131" s="563" t="n">
        <x:f>(1-MAX(MIN('詳細設定'!$D$16,0.999999),0))^(B131-1)</x:f>
        <x:v>1</x:v>
      </x:c>
      <x:c r="J131" s="563" t="n">
        <x:f>MAX(G131*D131*I131,0)</x:f>
        <x:v>428.41634742610796</x:v>
      </x:c>
      <x:c r="K131" s="563" t="n">
        <x:f>MAX(MIN(J131*F131,H131),0)</x:f>
        <x:v>149.9457215991378</x:v>
      </x:c>
      <x:c r="L131" s="563" t="n">
        <x:f>MAX(J131-K131,0)</x:f>
        <x:v>278.47062582697015</x:v>
      </x:c>
      <x:c r="M131" s="185" t="n">
        <x:f>MAX('詳細設定'!$D$6,0)*(1+'詳細設定'!$D$21)^(B131-1)</x:f>
        <x:v>38.66177438939216</x:v>
      </x:c>
      <x:c r="N131" s="185" t="n">
        <x:f>IF(B131&lt;=MAX(MIN('詳細設定'!$D$8,20),0),MAX('詳細設定'!$D$7,0),IF(B131&lt;=MAX(MIN('詳細設定'!$D$10,20),0),MAX('詳細設定'!$D$9,0),MAX('詳細設定'!$D$11,0)))</x:f>
        <x:v>8.3</x:v>
      </x:c>
      <x:c r="O131" s="190" t="n">
        <x:f>K131*M131</x:f>
        <x:v>5797.167659120472</x:v>
      </x:c>
      <x:c r="P131" s="190" t="n">
        <x:f>L131*N131</x:f>
        <x:v>2311.3061943638522</x:v>
      </x:c>
      <x:c r="Q131" s="190" t="n">
        <x:f>O131+P131</x:f>
        <x:v>8108.4738534843245</x:v>
      </x:c>
      <x:c r="R131" s="196" t="n">
        <x:f>J131-K131-L131</x:f>
        <x:v>0</x:v>
      </x:c>
    </x:row>
    <x:row r="132">
      <x:c r="A132" s="20" t="str">
        <x:v>慎重</x:v>
      </x:c>
      <x:c r="B132" s="20" t="n">
        <x:v>11</x:v>
      </x:c>
      <x:c r="C132" s="20" t="n">
        <x:v>8</x:v>
      </x:c>
      <x:c r="D132" s="189" t="n">
        <x:v>0.9</x:v>
      </x:c>
      <x:c r="E132" s="189" t="n">
        <x:v>1.1</x:v>
      </x:c>
      <x:c r="F132" s="189" t="n">
        <x:f>MAX(MIN('詳細設定'!$D$15+-0.05,1),0)</x:f>
        <x:v>0.35000000000000003</x:v>
      </x:c>
      <x:c r="G132" s="563" t="n">
        <x:f>'_計算月次'!$J$12</x:f>
        <x:v>528.6548067323699</x:v>
      </x:c>
      <x:c r="H132" s="563" t="n">
        <x:f>'_計算月次'!$K$12</x:f>
        <x:v>450</x:v>
      </x:c>
      <x:c r="I132" s="563" t="n">
        <x:f>(1-MAX(MIN('詳細設定'!$D$16,0.999999),0))^(B132-1)</x:f>
        <x:v>1</x:v>
      </x:c>
      <x:c r="J132" s="563" t="n">
        <x:f>MAX(G132*D132*I132,0)</x:f>
        <x:v>475.789326059133</x:v>
      </x:c>
      <x:c r="K132" s="563" t="n">
        <x:f>MAX(MIN(J132*F132,H132),0)</x:f>
        <x:v>166.52626412069657</x:v>
      </x:c>
      <x:c r="L132" s="563" t="n">
        <x:f>MAX(J132-K132,0)</x:f>
        <x:v>309.2630619384364</x:v>
      </x:c>
      <x:c r="M132" s="185" t="n">
        <x:f>MAX('詳細設定'!$D$6,0)*(1+'詳細設定'!$D$21)^(B132-1)</x:f>
        <x:v>38.66177438939216</x:v>
      </x:c>
      <x:c r="N132" s="185" t="n">
        <x:f>IF(B132&lt;=MAX(MIN('詳細設定'!$D$8,20),0),MAX('詳細設定'!$D$7,0),IF(B132&lt;=MAX(MIN('詳細設定'!$D$10,20),0),MAX('詳細設定'!$D$9,0),MAX('詳細設定'!$D$11,0)))</x:f>
        <x:v>8.3</x:v>
      </x:c>
      <x:c r="O132" s="190" t="n">
        <x:f>K132*M132</x:f>
        <x:v>6438.200853342701</x:v>
      </x:c>
      <x:c r="P132" s="190" t="n">
        <x:f>L132*N132</x:f>
        <x:v>2566.8834140890226</x:v>
      </x:c>
      <x:c r="Q132" s="190" t="n">
        <x:f>O132+P132</x:f>
        <x:v>9005.084267431723</x:v>
      </x:c>
      <x:c r="R132" s="196" t="n">
        <x:f>J132-K132-L132</x:f>
        <x:v>0</x:v>
      </x:c>
    </x:row>
    <x:row r="133">
      <x:c r="A133" s="20" t="str">
        <x:v>慎重</x:v>
      </x:c>
      <x:c r="B133" s="20" t="n">
        <x:v>11</x:v>
      </x:c>
      <x:c r="C133" s="20" t="n">
        <x:v>9</x:v>
      </x:c>
      <x:c r="D133" s="189" t="n">
        <x:v>0.9</x:v>
      </x:c>
      <x:c r="E133" s="189" t="n">
        <x:v>1.1</x:v>
      </x:c>
      <x:c r="F133" s="189" t="n">
        <x:f>MAX(MIN('詳細設定'!$D$15+-0.05,1),0)</x:f>
        <x:v>0.35000000000000003</x:v>
      </x:c>
      <x:c r="G133" s="563" t="n">
        <x:f>'_計算月次'!$J$13</x:f>
        <x:v>436.37734765103465</x:v>
      </x:c>
      <x:c r="H133" s="563" t="n">
        <x:f>'_計算月次'!$K$13</x:f>
        <x:v>360</x:v>
      </x:c>
      <x:c r="I133" s="563" t="n">
        <x:f>(1-MAX(MIN('詳細設定'!$D$16,0.999999),0))^(B133-1)</x:f>
        <x:v>1</x:v>
      </x:c>
      <x:c r="J133" s="563" t="n">
        <x:f>MAX(G133*D133*I133,0)</x:f>
        <x:v>392.7396128859312</x:v>
      </x:c>
      <x:c r="K133" s="563" t="n">
        <x:f>MAX(MIN(J133*F133,H133),0)</x:f>
        <x:v>137.45886451007593</x:v>
      </x:c>
      <x:c r="L133" s="563" t="n">
        <x:f>MAX(J133-K133,0)</x:f>
        <x:v>255.28074837585527</x:v>
      </x:c>
      <x:c r="M133" s="185" t="n">
        <x:f>MAX('詳細設定'!$D$6,0)*(1+'詳細設定'!$D$21)^(B133-1)</x:f>
        <x:v>38.66177438939216</x:v>
      </x:c>
      <x:c r="N133" s="185" t="n">
        <x:f>IF(B133&lt;=MAX(MIN('詳細設定'!$D$8,20),0),MAX('詳細設定'!$D$7,0),IF(B133&lt;=MAX(MIN('詳細設定'!$D$10,20),0),MAX('詳細設定'!$D$9,0),MAX('詳細設定'!$D$11,0)))</x:f>
        <x:v>8.3</x:v>
      </x:c>
      <x:c r="O133" s="190" t="n">
        <x:f>K133*M133</x:f>
        <x:v>5314.40360751058</x:v>
      </x:c>
      <x:c r="P133" s="190" t="n">
        <x:f>L133*N133</x:f>
        <x:v>2118.830211519599</x:v>
      </x:c>
      <x:c r="Q133" s="190" t="n">
        <x:f>O133+P133</x:f>
        <x:v>7433.233819030178</x:v>
      </x:c>
      <x:c r="R133" s="196" t="n">
        <x:f>J133-K133-L133</x:f>
        <x:v>0</x:v>
      </x:c>
    </x:row>
    <x:row r="134">
      <x:c r="A134" s="20" t="str">
        <x:v>慎重</x:v>
      </x:c>
      <x:c r="B134" s="20" t="n">
        <x:v>11</x:v>
      </x:c>
      <x:c r="C134" s="20" t="n">
        <x:v>10</x:v>
      </x:c>
      <x:c r="D134" s="189" t="n">
        <x:v>0.9</x:v>
      </x:c>
      <x:c r="E134" s="189" t="n">
        <x:v>1.1</x:v>
      </x:c>
      <x:c r="F134" s="189" t="n">
        <x:f>MAX(MIN('詳細設定'!$D$15+-0.05,1),0)</x:f>
        <x:v>0.35000000000000003</x:v>
      </x:c>
      <x:c r="G134" s="563" t="n">
        <x:f>'_計算月次'!$J$14</x:f>
        <x:v>408.8269849869007</x:v>
      </x:c>
      <x:c r="H134" s="563" t="n">
        <x:f>'_計算月次'!$K$14</x:f>
        <x:v>315.00000000000006</x:v>
      </x:c>
      <x:c r="I134" s="563" t="n">
        <x:f>(1-MAX(MIN('詳細設定'!$D$16,0.999999),0))^(B134-1)</x:f>
        <x:v>1</x:v>
      </x:c>
      <x:c r="J134" s="563" t="n">
        <x:f>MAX(G134*D134*I134,0)</x:f>
        <x:v>367.94428648821065</x:v>
      </x:c>
      <x:c r="K134" s="563" t="n">
        <x:f>MAX(MIN(J134*F134,H134),0)</x:f>
        <x:v>128.78050027087374</x:v>
      </x:c>
      <x:c r="L134" s="563" t="n">
        <x:f>MAX(J134-K134,0)</x:f>
        <x:v>239.1637862173369</x:v>
      </x:c>
      <x:c r="M134" s="185" t="n">
        <x:f>MAX('詳細設定'!$D$6,0)*(1+'詳細設定'!$D$21)^(B134-1)</x:f>
        <x:v>38.66177438939216</x:v>
      </x:c>
      <x:c r="N134" s="185" t="n">
        <x:f>IF(B134&lt;=MAX(MIN('詳細設定'!$D$8,20),0),MAX('詳細設定'!$D$7,0),IF(B134&lt;=MAX(MIN('詳細設定'!$D$10,20),0),MAX('詳細設定'!$D$9,0),MAX('詳細設定'!$D$11,0)))</x:f>
        <x:v>8.3</x:v>
      </x:c>
      <x:c r="O134" s="190" t="n">
        <x:f>K134*M134</x:f>
        <x:v>4978.882647225576</x:v>
      </x:c>
      <x:c r="P134" s="190" t="n">
        <x:f>L134*N134</x:f>
        <x:v>1985.0594256038964</x:v>
      </x:c>
      <x:c r="Q134" s="190" t="n">
        <x:f>O134+P134</x:f>
        <x:v>6963.942072829473</x:v>
      </x:c>
      <x:c r="R134" s="196" t="n">
        <x:f>J134-K134-L134</x:f>
        <x:v>0</x:v>
      </x:c>
    </x:row>
    <x:row r="135">
      <x:c r="A135" s="20" t="str">
        <x:v>慎重</x:v>
      </x:c>
      <x:c r="B135" s="20" t="n">
        <x:v>11</x:v>
      </x:c>
      <x:c r="C135" s="20" t="n">
        <x:v>11</x:v>
      </x:c>
      <x:c r="D135" s="189" t="n">
        <x:v>0.9</x:v>
      </x:c>
      <x:c r="E135" s="189" t="n">
        <x:v>1.1</x:v>
      </x:c>
      <x:c r="F135" s="189" t="n">
        <x:f>MAX(MIN('詳細設定'!$D$15+-0.05,1),0)</x:f>
        <x:v>0.35000000000000003</x:v>
      </x:c>
      <x:c r="G135" s="563" t="n">
        <x:f>'_計算月次'!$J$15</x:f>
        <x:v>398.45169764745054</x:v>
      </x:c>
      <x:c r="H135" s="563" t="n">
        <x:f>'_計算月次'!$K$15</x:f>
        <x:v>360</x:v>
      </x:c>
      <x:c r="I135" s="563" t="n">
        <x:f>(1-MAX(MIN('詳細設定'!$D$16,0.999999),0))^(B135-1)</x:f>
        <x:v>1</x:v>
      </x:c>
      <x:c r="J135" s="563" t="n">
        <x:f>MAX(G135*D135*I135,0)</x:f>
        <x:v>358.6065278827055</x:v>
      </x:c>
      <x:c r="K135" s="563" t="n">
        <x:f>MAX(MIN(J135*F135,H135),0)</x:f>
        <x:v>125.51228475894693</x:v>
      </x:c>
      <x:c r="L135" s="563" t="n">
        <x:f>MAX(J135-K135,0)</x:f>
        <x:v>233.0942431237586</x:v>
      </x:c>
      <x:c r="M135" s="185" t="n">
        <x:f>MAX('詳細設定'!$D$6,0)*(1+'詳細設定'!$D$21)^(B135-1)</x:f>
        <x:v>38.66177438939216</x:v>
      </x:c>
      <x:c r="N135" s="185" t="n">
        <x:f>IF(B135&lt;=MAX(MIN('詳細設定'!$D$8,20),0),MAX('詳細設定'!$D$7,0),IF(B135&lt;=MAX(MIN('詳細設定'!$D$10,20),0),MAX('詳細設定'!$D$9,0),MAX('詳細設定'!$D$11,0)))</x:f>
        <x:v>8.3</x:v>
      </x:c>
      <x:c r="O135" s="190" t="n">
        <x:f>K135*M135</x:f>
        <x:v>4852.52763644755</x:v>
      </x:c>
      <x:c r="P135" s="190" t="n">
        <x:f>L135*N135</x:f>
        <x:v>1934.6822179271965</x:v>
      </x:c>
      <x:c r="Q135" s="190" t="n">
        <x:f>O135+P135</x:f>
        <x:v>6787.209854374747</x:v>
      </x:c>
      <x:c r="R135" s="196" t="n">
        <x:f>J135-K135-L135</x:f>
        <x:v>0</x:v>
      </x:c>
    </x:row>
    <x:row r="136">
      <x:c r="A136" s="20" t="str">
        <x:v>慎重</x:v>
      </x:c>
      <x:c r="B136" s="20" t="n">
        <x:v>11</x:v>
      </x:c>
      <x:c r="C136" s="20" t="n">
        <x:v>12</x:v>
      </x:c>
      <x:c r="D136" s="189" t="n">
        <x:v>0.9</x:v>
      </x:c>
      <x:c r="E136" s="189" t="n">
        <x:v>1.1</x:v>
      </x:c>
      <x:c r="F136" s="189" t="n">
        <x:f>MAX(MIN('詳細設定'!$D$15+-0.05,1),0)</x:f>
        <x:v>0.35000000000000003</x:v>
      </x:c>
      <x:c r="G136" s="563" t="n">
        <x:f>'_計算月次'!$J$16</x:f>
        <x:v>443.97248688000184</x:v>
      </x:c>
      <x:c r="H136" s="563" t="n">
        <x:f>'_計算月次'!$K$16</x:f>
        <x:v>405</x:v>
      </x:c>
      <x:c r="I136" s="563" t="n">
        <x:f>(1-MAX(MIN('詳細設定'!$D$16,0.999999),0))^(B136-1)</x:f>
        <x:v>1</x:v>
      </x:c>
      <x:c r="J136" s="563" t="n">
        <x:f>MAX(G136*D136*I136,0)</x:f>
        <x:v>399.5752381920017</x:v>
      </x:c>
      <x:c r="K136" s="563" t="n">
        <x:f>MAX(MIN(J136*F136,H136),0)</x:f>
        <x:v>139.8513333672006</x:v>
      </x:c>
      <x:c r="L136" s="563" t="n">
        <x:f>MAX(J136-K136,0)</x:f>
        <x:v>259.7239048248011</x:v>
      </x:c>
      <x:c r="M136" s="185" t="n">
        <x:f>MAX('詳細設定'!$D$6,0)*(1+'詳細設定'!$D$21)^(B136-1)</x:f>
        <x:v>38.66177438939216</x:v>
      </x:c>
      <x:c r="N136" s="185" t="n">
        <x:f>IF(B136&lt;=MAX(MIN('詳細設定'!$D$8,20),0),MAX('詳細設定'!$D$7,0),IF(B136&lt;=MAX(MIN('詳細設定'!$D$10,20),0),MAX('詳細設定'!$D$9,0),MAX('詳細設定'!$D$11,0)))</x:f>
        <x:v>8.3</x:v>
      </x:c>
      <x:c r="O136" s="190" t="n">
        <x:f>K136*M136</x:f>
        <x:v>5406.90069869838</x:v>
      </x:c>
      <x:c r="P136" s="190" t="n">
        <x:f>L136*N136</x:f>
        <x:v>2155.708410045849</x:v>
      </x:c>
      <x:c r="Q136" s="190" t="n">
        <x:f>O136+P136</x:f>
        <x:v>7562.609108744229</x:v>
      </x:c>
      <x:c r="R136" s="196" t="n">
        <x:f>J136-K136-L136</x:f>
        <x:v>0</x:v>
      </x:c>
    </x:row>
    <x:row r="137">
      <x:c r="A137" s="20" t="str">
        <x:v>慎重</x:v>
      </x:c>
      <x:c r="B137" s="20" t="n">
        <x:v>12</x:v>
      </x:c>
      <x:c r="C137" s="20" t="n">
        <x:v>1</x:v>
      </x:c>
      <x:c r="D137" s="189" t="n">
        <x:v>0.9</x:v>
      </x:c>
      <x:c r="E137" s="189" t="n">
        <x:v>1.1</x:v>
      </x:c>
      <x:c r="F137" s="189" t="n">
        <x:f>MAX(MIN('詳細設定'!$D$15+-0.05,1),0)</x:f>
        <x:v>0.35000000000000003</x:v>
      </x:c>
      <x:c r="G137" s="563" t="n">
        <x:f>'_計算月次'!$J$5</x:f>
        <x:v>502.4147595742038</x:v>
      </x:c>
      <x:c r="H137" s="563" t="n">
        <x:f>'_計算月次'!$K$5</x:f>
        <x:v>450</x:v>
      </x:c>
      <x:c r="I137" s="563" t="n">
        <x:f>(1-MAX(MIN('詳細設定'!$D$16,0.999999),0))^(B137-1)</x:f>
        <x:v>1</x:v>
      </x:c>
      <x:c r="J137" s="563" t="n">
        <x:f>MAX(G137*D137*I137,0)</x:f>
        <x:v>452.1732836167834</x:v>
      </x:c>
      <x:c r="K137" s="563" t="n">
        <x:f>MAX(MIN(J137*F137,H137),0)</x:f>
        <x:v>158.2606492658742</x:v>
      </x:c>
      <x:c r="L137" s="563" t="n">
        <x:f>MAX(J137-K137,0)</x:f>
        <x:v>293.91263435090923</x:v>
      </x:c>
      <x:c r="M137" s="185" t="n">
        <x:f>MAX('詳細設定'!$D$6,0)*(1+'詳細設定'!$D$21)^(B137-1)</x:f>
        <x:v>39.04839213328608</x:v>
      </x:c>
      <x:c r="N137" s="185" t="n">
        <x:f>IF(B137&lt;=MAX(MIN('詳細設定'!$D$8,20),0),MAX('詳細設定'!$D$7,0),IF(B137&lt;=MAX(MIN('詳細設定'!$D$10,20),0),MAX('詳細設定'!$D$9,0),MAX('詳細設定'!$D$11,0)))</x:f>
        <x:v>8.3</x:v>
      </x:c>
      <x:c r="O137" s="190" t="n">
        <x:f>K137*M137</x:f>
        <x:v>6179.82389180231</x:v>
      </x:c>
      <x:c r="P137" s="190" t="n">
        <x:f>L137*N137</x:f>
        <x:v>2439.474865112547</x:v>
      </x:c>
      <x:c r="Q137" s="190" t="n">
        <x:f>O137+P137</x:f>
        <x:v>8619.298756914857</x:v>
      </x:c>
      <x:c r="R137" s="196" t="n">
        <x:f>J137-K137-L137</x:f>
        <x:v>0</x:v>
      </x:c>
    </x:row>
    <x:row r="138">
      <x:c r="A138" s="20" t="str">
        <x:v>慎重</x:v>
      </x:c>
      <x:c r="B138" s="20" t="n">
        <x:v>12</x:v>
      </x:c>
      <x:c r="C138" s="20" t="n">
        <x:v>2</x:v>
      </x:c>
      <x:c r="D138" s="189" t="n">
        <x:v>0.9</x:v>
      </x:c>
      <x:c r="E138" s="189" t="n">
        <x:v>1.1</x:v>
      </x:c>
      <x:c r="F138" s="189" t="n">
        <x:f>MAX(MIN('詳細設定'!$D$15+-0.05,1),0)</x:f>
        <x:v>0.35000000000000003</x:v>
      </x:c>
      <x:c r="G138" s="563" t="n">
        <x:f>'_計算月次'!$J$6</x:f>
        <x:v>472.4508339500229</x:v>
      </x:c>
      <x:c r="H138" s="563" t="n">
        <x:f>'_計算月次'!$K$6</x:f>
        <x:v>405</x:v>
      </x:c>
      <x:c r="I138" s="563" t="n">
        <x:f>(1-MAX(MIN('詳細設定'!$D$16,0.999999),0))^(B138-1)</x:f>
        <x:v>1</x:v>
      </x:c>
      <x:c r="J138" s="563" t="n">
        <x:f>MAX(G138*D138*I138,0)</x:f>
        <x:v>425.20575055502064</x:v>
      </x:c>
      <x:c r="K138" s="563" t="n">
        <x:f>MAX(MIN(J138*F138,H138),0)</x:f>
        <x:v>148.82201269425724</x:v>
      </x:c>
      <x:c r="L138" s="563" t="n">
        <x:f>MAX(J138-K138,0)</x:f>
        <x:v>276.3837378607634</x:v>
      </x:c>
      <x:c r="M138" s="185" t="n">
        <x:f>MAX('詳細設定'!$D$6,0)*(1+'詳細設定'!$D$21)^(B138-1)</x:f>
        <x:v>39.04839213328608</x:v>
      </x:c>
      <x:c r="N138" s="185" t="n">
        <x:f>IF(B138&lt;=MAX(MIN('詳細設定'!$D$8,20),0),MAX('詳細設定'!$D$7,0),IF(B138&lt;=MAX(MIN('詳細設定'!$D$10,20),0),MAX('詳細設定'!$D$9,0),MAX('詳細設定'!$D$11,0)))</x:f>
        <x:v>8.3</x:v>
      </x:c>
      <x:c r="O138" s="190" t="n">
        <x:f>K138*M138</x:f>
        <x:v>5811.260309750235</x:v>
      </x:c>
      <x:c r="P138" s="190" t="n">
        <x:f>L138*N138</x:f>
        <x:v>2293.9850242443363</x:v>
      </x:c>
      <x:c r="Q138" s="190" t="n">
        <x:f>O138+P138</x:f>
        <x:v>8105.245333994571</x:v>
      </x:c>
      <x:c r="R138" s="196" t="n">
        <x:f>J138-K138-L138</x:f>
        <x:v>0</x:v>
      </x:c>
    </x:row>
    <x:row r="139">
      <x:c r="A139" s="20" t="str">
        <x:v>慎重</x:v>
      </x:c>
      <x:c r="B139" s="20" t="n">
        <x:v>12</x:v>
      </x:c>
      <x:c r="C139" s="20" t="n">
        <x:v>3</x:v>
      </x:c>
      <x:c r="D139" s="189" t="n">
        <x:v>0.9</x:v>
      </x:c>
      <x:c r="E139" s="189" t="n">
        <x:v>1.1</x:v>
      </x:c>
      <x:c r="F139" s="189" t="n">
        <x:f>MAX(MIN('詳細設定'!$D$15+-0.05,1),0)</x:f>
        <x:v>0.35000000000000003</x:v>
      </x:c>
      <x:c r="G139" s="563" t="n">
        <x:f>'_計算月次'!$J$7</x:f>
        <x:v>548.3418864753118</x:v>
      </x:c>
      <x:c r="H139" s="563" t="n">
        <x:f>'_計算月次'!$K$7</x:f>
        <x:v>360</x:v>
      </x:c>
      <x:c r="I139" s="563" t="n">
        <x:f>(1-MAX(MIN('詳細設定'!$D$16,0.999999),0))^(B139-1)</x:f>
        <x:v>1</x:v>
      </x:c>
      <x:c r="J139" s="563" t="n">
        <x:f>MAX(G139*D139*I139,0)</x:f>
        <x:v>493.5076978277806</x:v>
      </x:c>
      <x:c r="K139" s="563" t="n">
        <x:f>MAX(MIN(J139*F139,H139),0)</x:f>
        <x:v>172.72769423972323</x:v>
      </x:c>
      <x:c r="L139" s="563" t="n">
        <x:f>MAX(J139-K139,0)</x:f>
        <x:v>320.78000358805735</x:v>
      </x:c>
      <x:c r="M139" s="185" t="n">
        <x:f>MAX('詳細設定'!$D$6,0)*(1+'詳細設定'!$D$21)^(B139-1)</x:f>
        <x:v>39.04839213328608</x:v>
      </x:c>
      <x:c r="N139" s="185" t="n">
        <x:f>IF(B139&lt;=MAX(MIN('詳細設定'!$D$8,20),0),MAX('詳細設定'!$D$7,0),IF(B139&lt;=MAX(MIN('詳細設定'!$D$10,20),0),MAX('詳細設定'!$D$9,0),MAX('詳細設定'!$D$11,0)))</x:f>
        <x:v>8.3</x:v>
      </x:c>
      <x:c r="O139" s="190" t="n">
        <x:f>K139*M139</x:f>
        <x:v>6744.738736951052</x:v>
      </x:c>
      <x:c r="P139" s="190" t="n">
        <x:f>L139*N139</x:f>
        <x:v>2662.474029780876</x:v>
      </x:c>
      <x:c r="Q139" s="190" t="n">
        <x:f>O139+P139</x:f>
        <x:v>9407.212766731927</x:v>
      </x:c>
      <x:c r="R139" s="196" t="n">
        <x:f>J139-K139-L139</x:f>
        <x:v>0</x:v>
      </x:c>
    </x:row>
    <x:row r="140">
      <x:c r="A140" s="20" t="str">
        <x:v>慎重</x:v>
      </x:c>
      <x:c r="B140" s="20" t="n">
        <x:v>12</x:v>
      </x:c>
      <x:c r="C140" s="20" t="n">
        <x:v>4</x:v>
      </x:c>
      <x:c r="D140" s="189" t="n">
        <x:v>0.9</x:v>
      </x:c>
      <x:c r="E140" s="189" t="n">
        <x:v>1.1</x:v>
      </x:c>
      <x:c r="F140" s="189" t="n">
        <x:f>MAX(MIN('詳細設定'!$D$15+-0.05,1),0)</x:f>
        <x:v>0.35000000000000003</x:v>
      </x:c>
      <x:c r="G140" s="563" t="n">
        <x:f>'_計算月次'!$J$8</x:f>
        <x:v>548.3944393749554</x:v>
      </x:c>
      <x:c r="H140" s="563" t="n">
        <x:f>'_計算月次'!$K$8</x:f>
        <x:v>315.00000000000006</x:v>
      </x:c>
      <x:c r="I140" s="563" t="n">
        <x:f>(1-MAX(MIN('詳細設定'!$D$16,0.999999),0))^(B140-1)</x:f>
        <x:v>1</x:v>
      </x:c>
      <x:c r="J140" s="563" t="n">
        <x:f>MAX(G140*D140*I140,0)</x:f>
        <x:v>493.55499543745987</x:v>
      </x:c>
      <x:c r="K140" s="563" t="n">
        <x:f>MAX(MIN(J140*F140,H140),0)</x:f>
        <x:v>172.74424840311096</x:v>
      </x:c>
      <x:c r="L140" s="563" t="n">
        <x:f>MAX(J140-K140,0)</x:f>
        <x:v>320.8107470343489</x:v>
      </x:c>
      <x:c r="M140" s="185" t="n">
        <x:f>MAX('詳細設定'!$D$6,0)*(1+'詳細設定'!$D$21)^(B140-1)</x:f>
        <x:v>39.04839213328608</x:v>
      </x:c>
      <x:c r="N140" s="185" t="n">
        <x:f>IF(B140&lt;=MAX(MIN('詳細設定'!$D$8,20),0),MAX('詳細設定'!$D$7,0),IF(B140&lt;=MAX(MIN('詳細設定'!$D$10,20),0),MAX('詳細設定'!$D$9,0),MAX('詳細設定'!$D$11,0)))</x:f>
        <x:v>8.3</x:v>
      </x:c>
      <x:c r="O140" s="190" t="n">
        <x:f>K140*M140</x:f>
        <x:v>6745.385150414454</x:v>
      </x:c>
      <x:c r="P140" s="190" t="n">
        <x:f>L140*N140</x:f>
        <x:v>2662.7292003850957</x:v>
      </x:c>
      <x:c r="Q140" s="190" t="n">
        <x:f>O140+P140</x:f>
        <x:v>9408.11435079955</x:v>
      </x:c>
      <x:c r="R140" s="196" t="n">
        <x:f>J140-K140-L140</x:f>
        <x:v>0</x:v>
      </x:c>
    </x:row>
    <x:row r="141">
      <x:c r="A141" s="20" t="str">
        <x:v>慎重</x:v>
      </x:c>
      <x:c r="B141" s="20" t="n">
        <x:v>12</x:v>
      </x:c>
      <x:c r="C141" s="20" t="n">
        <x:v>5</x:v>
      </x:c>
      <x:c r="D141" s="189" t="n">
        <x:v>0.9</x:v>
      </x:c>
      <x:c r="E141" s="189" t="n">
        <x:v>1.1</x:v>
      </x:c>
      <x:c r="F141" s="189" t="n">
        <x:f>MAX(MIN('詳細設定'!$D$15+-0.05,1),0)</x:f>
        <x:v>0.35000000000000003</x:v>
      </x:c>
      <x:c r="G141" s="563" t="n">
        <x:f>'_計算月次'!$J$9</x:f>
        <x:v>552.2367574934775</x:v>
      </x:c>
      <x:c r="H141" s="563" t="n">
        <x:f>'_計算月次'!$K$9</x:f>
        <x:v>315.00000000000006</x:v>
      </x:c>
      <x:c r="I141" s="563" t="n">
        <x:f>(1-MAX(MIN('詳細設定'!$D$16,0.999999),0))^(B141-1)</x:f>
        <x:v>1</x:v>
      </x:c>
      <x:c r="J141" s="563" t="n">
        <x:f>MAX(G141*D141*I141,0)</x:f>
        <x:v>497.01308174412975</x:v>
      </x:c>
      <x:c r="K141" s="563" t="n">
        <x:f>MAX(MIN(J141*F141,H141),0)</x:f>
        <x:v>173.95457861044542</x:v>
      </x:c>
      <x:c r="L141" s="563" t="n">
        <x:f>MAX(J141-K141,0)</x:f>
        <x:v>323.0585031336843</x:v>
      </x:c>
      <x:c r="M141" s="185" t="n">
        <x:f>MAX('詳細設定'!$D$6,0)*(1+'詳細設定'!$D$21)^(B141-1)</x:f>
        <x:v>39.04839213328608</x:v>
      </x:c>
      <x:c r="N141" s="185" t="n">
        <x:f>IF(B141&lt;=MAX(MIN('詳細設定'!$D$8,20),0),MAX('詳細設定'!$D$7,0),IF(B141&lt;=MAX(MIN('詳細設定'!$D$10,20),0),MAX('詳細設定'!$D$9,0),MAX('詳細設定'!$D$11,0)))</x:f>
        <x:v>8.3</x:v>
      </x:c>
      <x:c r="O141" s="190" t="n">
        <x:f>K141*M141</x:f>
        <x:v>6792.646598961212</x:v>
      </x:c>
      <x:c r="P141" s="190" t="n">
        <x:f>L141*N141</x:f>
        <x:v>2681.3855760095803</x:v>
      </x:c>
      <x:c r="Q141" s="190" t="n">
        <x:f>O141+P141</x:f>
        <x:v>9474.032174970791</x:v>
      </x:c>
      <x:c r="R141" s="196" t="n">
        <x:f>J141-K141-L141</x:f>
        <x:v>0</x:v>
      </x:c>
    </x:row>
    <x:row r="142">
      <x:c r="A142" s="20" t="str">
        <x:v>慎重</x:v>
      </x:c>
      <x:c r="B142" s="20" t="n">
        <x:v>12</x:v>
      </x:c>
      <x:c r="C142" s="20" t="n">
        <x:v>6</x:v>
      </x:c>
      <x:c r="D142" s="189" t="n">
        <x:v>0.9</x:v>
      </x:c>
      <x:c r="E142" s="189" t="n">
        <x:v>1.1</x:v>
      </x:c>
      <x:c r="F142" s="189" t="n">
        <x:f>MAX(MIN('詳細設定'!$D$15+-0.05,1),0)</x:f>
        <x:v>0.35000000000000003</x:v>
      </x:c>
      <x:c r="G142" s="563" t="n">
        <x:f>'_計算月次'!$J$10</x:f>
        <x:v>448.7994857612148</x:v>
      </x:c>
      <x:c r="H142" s="563" t="n">
        <x:f>'_計算月次'!$K$10</x:f>
        <x:v>360</x:v>
      </x:c>
      <x:c r="I142" s="563" t="n">
        <x:f>(1-MAX(MIN('詳細設定'!$D$16,0.999999),0))^(B142-1)</x:f>
        <x:v>1</x:v>
      </x:c>
      <x:c r="J142" s="563" t="n">
        <x:f>MAX(G142*D142*I142,0)</x:f>
        <x:v>403.9195371850933</x:v>
      </x:c>
      <x:c r="K142" s="563" t="n">
        <x:f>MAX(MIN(J142*F142,H142),0)</x:f>
        <x:v>141.37183801478267</x:v>
      </x:c>
      <x:c r="L142" s="563" t="n">
        <x:f>MAX(J142-K142,0)</x:f>
        <x:v>262.54769917031064</x:v>
      </x:c>
      <x:c r="M142" s="185" t="n">
        <x:f>MAX('詳細設定'!$D$6,0)*(1+'詳細設定'!$D$21)^(B142-1)</x:f>
        <x:v>39.04839213328608</x:v>
      </x:c>
      <x:c r="N142" s="185" t="n">
        <x:f>IF(B142&lt;=MAX(MIN('詳細設定'!$D$8,20),0),MAX('詳細設定'!$D$7,0),IF(B142&lt;=MAX(MIN('詳細設定'!$D$10,20),0),MAX('詳細設定'!$D$9,0),MAX('詳細設定'!$D$11,0)))</x:f>
        <x:v>8.3</x:v>
      </x:c>
      <x:c r="O142" s="190" t="n">
        <x:f>K142*M142</x:f>
        <x:v>5520.342967404634</x:v>
      </x:c>
      <x:c r="P142" s="190" t="n">
        <x:f>L142*N142</x:f>
        <x:v>2179.1459031135782</x:v>
      </x:c>
      <x:c r="Q142" s="190" t="n">
        <x:f>O142+P142</x:f>
        <x:v>7699.488870518212</x:v>
      </x:c>
      <x:c r="R142" s="196" t="n">
        <x:f>J142-K142-L142</x:f>
        <x:v>0</x:v>
      </x:c>
    </x:row>
    <x:row r="143">
      <x:c r="A143" s="20" t="str">
        <x:v>慎重</x:v>
      </x:c>
      <x:c r="B143" s="20" t="n">
        <x:v>12</x:v>
      </x:c>
      <x:c r="C143" s="20" t="n">
        <x:v>7</x:v>
      </x:c>
      <x:c r="D143" s="189" t="n">
        <x:v>0.9</x:v>
      </x:c>
      <x:c r="E143" s="189" t="n">
        <x:v>1.1</x:v>
      </x:c>
      <x:c r="F143" s="189" t="n">
        <x:f>MAX(MIN('詳細設定'!$D$15+-0.05,1),0)</x:f>
        <x:v>0.35000000000000003</x:v>
      </x:c>
      <x:c r="G143" s="563" t="n">
        <x:f>'_計算月次'!$J$11</x:f>
        <x:v>476.0181638067866</x:v>
      </x:c>
      <x:c r="H143" s="563" t="n">
        <x:f>'_計算月次'!$K$11</x:f>
        <x:v>405</x:v>
      </x:c>
      <x:c r="I143" s="563" t="n">
        <x:f>(1-MAX(MIN('詳細設定'!$D$16,0.999999),0))^(B143-1)</x:f>
        <x:v>1</x:v>
      </x:c>
      <x:c r="J143" s="563" t="n">
        <x:f>MAX(G143*D143*I143,0)</x:f>
        <x:v>428.41634742610796</x:v>
      </x:c>
      <x:c r="K143" s="563" t="n">
        <x:f>MAX(MIN(J143*F143,H143),0)</x:f>
        <x:v>149.9457215991378</x:v>
      </x:c>
      <x:c r="L143" s="563" t="n">
        <x:f>MAX(J143-K143,0)</x:f>
        <x:v>278.47062582697015</x:v>
      </x:c>
      <x:c r="M143" s="185" t="n">
        <x:f>MAX('詳細設定'!$D$6,0)*(1+'詳細設定'!$D$21)^(B143-1)</x:f>
        <x:v>39.04839213328608</x:v>
      </x:c>
      <x:c r="N143" s="185" t="n">
        <x:f>IF(B143&lt;=MAX(MIN('詳細設定'!$D$8,20),0),MAX('詳細設定'!$D$7,0),IF(B143&lt;=MAX(MIN('詳細設定'!$D$10,20),0),MAX('詳細設定'!$D$9,0),MAX('詳細設定'!$D$11,0)))</x:f>
        <x:v>8.3</x:v>
      </x:c>
      <x:c r="O143" s="190" t="n">
        <x:f>K143*M143</x:f>
        <x:v>5855.139335711678</x:v>
      </x:c>
      <x:c r="P143" s="190" t="n">
        <x:f>L143*N143</x:f>
        <x:v>2311.3061943638522</x:v>
      </x:c>
      <x:c r="Q143" s="190" t="n">
        <x:f>O143+P143</x:f>
        <x:v>8166.44553007553</x:v>
      </x:c>
      <x:c r="R143" s="196" t="n">
        <x:f>J143-K143-L143</x:f>
        <x:v>0</x:v>
      </x:c>
    </x:row>
    <x:row r="144">
      <x:c r="A144" s="20" t="str">
        <x:v>慎重</x:v>
      </x:c>
      <x:c r="B144" s="20" t="n">
        <x:v>12</x:v>
      </x:c>
      <x:c r="C144" s="20" t="n">
        <x:v>8</x:v>
      </x:c>
      <x:c r="D144" s="189" t="n">
        <x:v>0.9</x:v>
      </x:c>
      <x:c r="E144" s="189" t="n">
        <x:v>1.1</x:v>
      </x:c>
      <x:c r="F144" s="189" t="n">
        <x:f>MAX(MIN('詳細設定'!$D$15+-0.05,1),0)</x:f>
        <x:v>0.35000000000000003</x:v>
      </x:c>
      <x:c r="G144" s="563" t="n">
        <x:f>'_計算月次'!$J$12</x:f>
        <x:v>528.6548067323699</x:v>
      </x:c>
      <x:c r="H144" s="563" t="n">
        <x:f>'_計算月次'!$K$12</x:f>
        <x:v>450</x:v>
      </x:c>
      <x:c r="I144" s="563" t="n">
        <x:f>(1-MAX(MIN('詳細設定'!$D$16,0.999999),0))^(B144-1)</x:f>
        <x:v>1</x:v>
      </x:c>
      <x:c r="J144" s="563" t="n">
        <x:f>MAX(G144*D144*I144,0)</x:f>
        <x:v>475.789326059133</x:v>
      </x:c>
      <x:c r="K144" s="563" t="n">
        <x:f>MAX(MIN(J144*F144,H144),0)</x:f>
        <x:v>166.52626412069657</x:v>
      </x:c>
      <x:c r="L144" s="563" t="n">
        <x:f>MAX(J144-K144,0)</x:f>
        <x:v>309.2630619384364</x:v>
      </x:c>
      <x:c r="M144" s="185" t="n">
        <x:f>MAX('詳細設定'!$D$6,0)*(1+'詳細設定'!$D$21)^(B144-1)</x:f>
        <x:v>39.04839213328608</x:v>
      </x:c>
      <x:c r="N144" s="185" t="n">
        <x:f>IF(B144&lt;=MAX(MIN('詳細設定'!$D$8,20),0),MAX('詳細設定'!$D$7,0),IF(B144&lt;=MAX(MIN('詳細設定'!$D$10,20),0),MAX('詳細設定'!$D$9,0),MAX('詳細設定'!$D$11,0)))</x:f>
        <x:v>8.3</x:v>
      </x:c>
      <x:c r="O144" s="190" t="n">
        <x:f>K144*M144</x:f>
        <x:v>6502.582861876128</x:v>
      </x:c>
      <x:c r="P144" s="190" t="n">
        <x:f>L144*N144</x:f>
        <x:v>2566.8834140890226</x:v>
      </x:c>
      <x:c r="Q144" s="190" t="n">
        <x:f>O144+P144</x:f>
        <x:v>9069.466275965151</x:v>
      </x:c>
      <x:c r="R144" s="196" t="n">
        <x:f>J144-K144-L144</x:f>
        <x:v>0</x:v>
      </x:c>
    </x:row>
    <x:row r="145">
      <x:c r="A145" s="20" t="str">
        <x:v>慎重</x:v>
      </x:c>
      <x:c r="B145" s="20" t="n">
        <x:v>12</x:v>
      </x:c>
      <x:c r="C145" s="20" t="n">
        <x:v>9</x:v>
      </x:c>
      <x:c r="D145" s="189" t="n">
        <x:v>0.9</x:v>
      </x:c>
      <x:c r="E145" s="189" t="n">
        <x:v>1.1</x:v>
      </x:c>
      <x:c r="F145" s="189" t="n">
        <x:f>MAX(MIN('詳細設定'!$D$15+-0.05,1),0)</x:f>
        <x:v>0.35000000000000003</x:v>
      </x:c>
      <x:c r="G145" s="563" t="n">
        <x:f>'_計算月次'!$J$13</x:f>
        <x:v>436.37734765103465</x:v>
      </x:c>
      <x:c r="H145" s="563" t="n">
        <x:f>'_計算月次'!$K$13</x:f>
        <x:v>360</x:v>
      </x:c>
      <x:c r="I145" s="563" t="n">
        <x:f>(1-MAX(MIN('詳細設定'!$D$16,0.999999),0))^(B145-1)</x:f>
        <x:v>1</x:v>
      </x:c>
      <x:c r="J145" s="563" t="n">
        <x:f>MAX(G145*D145*I145,0)</x:f>
        <x:v>392.7396128859312</x:v>
      </x:c>
      <x:c r="K145" s="563" t="n">
        <x:f>MAX(MIN(J145*F145,H145),0)</x:f>
        <x:v>137.45886451007593</x:v>
      </x:c>
      <x:c r="L145" s="563" t="n">
        <x:f>MAX(J145-K145,0)</x:f>
        <x:v>255.28074837585527</x:v>
      </x:c>
      <x:c r="M145" s="185" t="n">
        <x:f>MAX('詳細設定'!$D$6,0)*(1+'詳細設定'!$D$21)^(B145-1)</x:f>
        <x:v>39.04839213328608</x:v>
      </x:c>
      <x:c r="N145" s="185" t="n">
        <x:f>IF(B145&lt;=MAX(MIN('詳細設定'!$D$8,20),0),MAX('詳細設定'!$D$7,0),IF(B145&lt;=MAX(MIN('詳細設定'!$D$10,20),0),MAX('詳細設定'!$D$9,0),MAX('詳細設定'!$D$11,0)))</x:f>
        <x:v>8.3</x:v>
      </x:c>
      <x:c r="O145" s="190" t="n">
        <x:f>K145*M145</x:f>
        <x:v>5367.547643585685</x:v>
      </x:c>
      <x:c r="P145" s="190" t="n">
        <x:f>L145*N145</x:f>
        <x:v>2118.830211519599</x:v>
      </x:c>
      <x:c r="Q145" s="190" t="n">
        <x:f>O145+P145</x:f>
        <x:v>7486.377855105284</x:v>
      </x:c>
      <x:c r="R145" s="196" t="n">
        <x:f>J145-K145-L145</x:f>
        <x:v>0</x:v>
      </x:c>
    </x:row>
    <x:row r="146">
      <x:c r="A146" s="20" t="str">
        <x:v>慎重</x:v>
      </x:c>
      <x:c r="B146" s="20" t="n">
        <x:v>12</x:v>
      </x:c>
      <x:c r="C146" s="20" t="n">
        <x:v>10</x:v>
      </x:c>
      <x:c r="D146" s="189" t="n">
        <x:v>0.9</x:v>
      </x:c>
      <x:c r="E146" s="189" t="n">
        <x:v>1.1</x:v>
      </x:c>
      <x:c r="F146" s="189" t="n">
        <x:f>MAX(MIN('詳細設定'!$D$15+-0.05,1),0)</x:f>
        <x:v>0.35000000000000003</x:v>
      </x:c>
      <x:c r="G146" s="563" t="n">
        <x:f>'_計算月次'!$J$14</x:f>
        <x:v>408.8269849869007</x:v>
      </x:c>
      <x:c r="H146" s="563" t="n">
        <x:f>'_計算月次'!$K$14</x:f>
        <x:v>315.00000000000006</x:v>
      </x:c>
      <x:c r="I146" s="563" t="n">
        <x:f>(1-MAX(MIN('詳細設定'!$D$16,0.999999),0))^(B146-1)</x:f>
        <x:v>1</x:v>
      </x:c>
      <x:c r="J146" s="563" t="n">
        <x:f>MAX(G146*D146*I146,0)</x:f>
        <x:v>367.94428648821065</x:v>
      </x:c>
      <x:c r="K146" s="563" t="n">
        <x:f>MAX(MIN(J146*F146,H146),0)</x:f>
        <x:v>128.78050027087374</x:v>
      </x:c>
      <x:c r="L146" s="563" t="n">
        <x:f>MAX(J146-K146,0)</x:f>
        <x:v>239.1637862173369</x:v>
      </x:c>
      <x:c r="M146" s="185" t="n">
        <x:f>MAX('詳細設定'!$D$6,0)*(1+'詳細設定'!$D$21)^(B146-1)</x:f>
        <x:v>39.04839213328608</x:v>
      </x:c>
      <x:c r="N146" s="185" t="n">
        <x:f>IF(B146&lt;=MAX(MIN('詳細設定'!$D$8,20),0),MAX('詳細設定'!$D$7,0),IF(B146&lt;=MAX(MIN('詳細設定'!$D$10,20),0),MAX('詳細設定'!$D$9,0),MAX('詳細設定'!$D$11,0)))</x:f>
        <x:v>8.3</x:v>
      </x:c>
      <x:c r="O146" s="190" t="n">
        <x:f>K146*M146</x:f>
        <x:v>5028.671473697832</x:v>
      </x:c>
      <x:c r="P146" s="190" t="n">
        <x:f>L146*N146</x:f>
        <x:v>1985.0594256038964</x:v>
      </x:c>
      <x:c r="Q146" s="190" t="n">
        <x:f>O146+P146</x:f>
        <x:v>7013.730899301729</x:v>
      </x:c>
      <x:c r="R146" s="196" t="n">
        <x:f>J146-K146-L146</x:f>
        <x:v>0</x:v>
      </x:c>
    </x:row>
    <x:row r="147">
      <x:c r="A147" s="20" t="str">
        <x:v>慎重</x:v>
      </x:c>
      <x:c r="B147" s="20" t="n">
        <x:v>12</x:v>
      </x:c>
      <x:c r="C147" s="20" t="n">
        <x:v>11</x:v>
      </x:c>
      <x:c r="D147" s="189" t="n">
        <x:v>0.9</x:v>
      </x:c>
      <x:c r="E147" s="189" t="n">
        <x:v>1.1</x:v>
      </x:c>
      <x:c r="F147" s="189" t="n">
        <x:f>MAX(MIN('詳細設定'!$D$15+-0.05,1),0)</x:f>
        <x:v>0.35000000000000003</x:v>
      </x:c>
      <x:c r="G147" s="563" t="n">
        <x:f>'_計算月次'!$J$15</x:f>
        <x:v>398.45169764745054</x:v>
      </x:c>
      <x:c r="H147" s="563" t="n">
        <x:f>'_計算月次'!$K$15</x:f>
        <x:v>360</x:v>
      </x:c>
      <x:c r="I147" s="563" t="n">
        <x:f>(1-MAX(MIN('詳細設定'!$D$16,0.999999),0))^(B147-1)</x:f>
        <x:v>1</x:v>
      </x:c>
      <x:c r="J147" s="563" t="n">
        <x:f>MAX(G147*D147*I147,0)</x:f>
        <x:v>358.6065278827055</x:v>
      </x:c>
      <x:c r="K147" s="563" t="n">
        <x:f>MAX(MIN(J147*F147,H147),0)</x:f>
        <x:v>125.51228475894693</x:v>
      </x:c>
      <x:c r="L147" s="563" t="n">
        <x:f>MAX(J147-K147,0)</x:f>
        <x:v>233.0942431237586</x:v>
      </x:c>
      <x:c r="M147" s="185" t="n">
        <x:f>MAX('詳細設定'!$D$6,0)*(1+'詳細設定'!$D$21)^(B147-1)</x:f>
        <x:v>39.04839213328608</x:v>
      </x:c>
      <x:c r="N147" s="185" t="n">
        <x:f>IF(B147&lt;=MAX(MIN('詳細設定'!$D$8,20),0),MAX('詳細設定'!$D$7,0),IF(B147&lt;=MAX(MIN('詳細設定'!$D$10,20),0),MAX('詳細設定'!$D$9,0),MAX('詳細設定'!$D$11,0)))</x:f>
        <x:v>8.3</x:v>
      </x:c>
      <x:c r="O147" s="190" t="n">
        <x:f>K147*M147</x:f>
        <x:v>4901.052912812026</x:v>
      </x:c>
      <x:c r="P147" s="190" t="n">
        <x:f>L147*N147</x:f>
        <x:v>1934.6822179271965</x:v>
      </x:c>
      <x:c r="Q147" s="190" t="n">
        <x:f>O147+P147</x:f>
        <x:v>6835.735130739223</x:v>
      </x:c>
      <x:c r="R147" s="196" t="n">
        <x:f>J147-K147-L147</x:f>
        <x:v>0</x:v>
      </x:c>
    </x:row>
    <x:row r="148">
      <x:c r="A148" s="20" t="str">
        <x:v>慎重</x:v>
      </x:c>
      <x:c r="B148" s="20" t="n">
        <x:v>12</x:v>
      </x:c>
      <x:c r="C148" s="20" t="n">
        <x:v>12</x:v>
      </x:c>
      <x:c r="D148" s="189" t="n">
        <x:v>0.9</x:v>
      </x:c>
      <x:c r="E148" s="189" t="n">
        <x:v>1.1</x:v>
      </x:c>
      <x:c r="F148" s="189" t="n">
        <x:f>MAX(MIN('詳細設定'!$D$15+-0.05,1),0)</x:f>
        <x:v>0.35000000000000003</x:v>
      </x:c>
      <x:c r="G148" s="563" t="n">
        <x:f>'_計算月次'!$J$16</x:f>
        <x:v>443.97248688000184</x:v>
      </x:c>
      <x:c r="H148" s="563" t="n">
        <x:f>'_計算月次'!$K$16</x:f>
        <x:v>405</x:v>
      </x:c>
      <x:c r="I148" s="563" t="n">
        <x:f>(1-MAX(MIN('詳細設定'!$D$16,0.999999),0))^(B148-1)</x:f>
        <x:v>1</x:v>
      </x:c>
      <x:c r="J148" s="563" t="n">
        <x:f>MAX(G148*D148*I148,0)</x:f>
        <x:v>399.5752381920017</x:v>
      </x:c>
      <x:c r="K148" s="563" t="n">
        <x:f>MAX(MIN(J148*F148,H148),0)</x:f>
        <x:v>139.8513333672006</x:v>
      </x:c>
      <x:c r="L148" s="563" t="n">
        <x:f>MAX(J148-K148,0)</x:f>
        <x:v>259.7239048248011</x:v>
      </x:c>
      <x:c r="M148" s="185" t="n">
        <x:f>MAX('詳細設定'!$D$6,0)*(1+'詳細設定'!$D$21)^(B148-1)</x:f>
        <x:v>39.04839213328608</x:v>
      </x:c>
      <x:c r="N148" s="185" t="n">
        <x:f>IF(B148&lt;=MAX(MIN('詳細設定'!$D$8,20),0),MAX('詳細設定'!$D$7,0),IF(B148&lt;=MAX(MIN('詳細設定'!$D$10,20),0),MAX('詳細設定'!$D$9,0),MAX('詳細設定'!$D$11,0)))</x:f>
        <x:v>8.3</x:v>
      </x:c>
      <x:c r="O148" s="190" t="n">
        <x:f>K148*M148</x:f>
        <x:v>5460.969705685365</x:v>
      </x:c>
      <x:c r="P148" s="190" t="n">
        <x:f>L148*N148</x:f>
        <x:v>2155.708410045849</x:v>
      </x:c>
      <x:c r="Q148" s="190" t="n">
        <x:f>O148+P148</x:f>
        <x:v>7616.678115731214</x:v>
      </x:c>
      <x:c r="R148" s="196" t="n">
        <x:f>J148-K148-L148</x:f>
        <x:v>0</x:v>
      </x:c>
    </x:row>
    <x:row r="149">
      <x:c r="A149" s="20" t="str">
        <x:v>慎重</x:v>
      </x:c>
      <x:c r="B149" s="20" t="n">
        <x:v>13</x:v>
      </x:c>
      <x:c r="C149" s="20" t="n">
        <x:v>1</x:v>
      </x:c>
      <x:c r="D149" s="189" t="n">
        <x:v>0.9</x:v>
      </x:c>
      <x:c r="E149" s="189" t="n">
        <x:v>1.1</x:v>
      </x:c>
      <x:c r="F149" s="189" t="n">
        <x:f>MAX(MIN('詳細設定'!$D$15+-0.05,1),0)</x:f>
        <x:v>0.35000000000000003</x:v>
      </x:c>
      <x:c r="G149" s="563" t="n">
        <x:f>'_計算月次'!$J$5</x:f>
        <x:v>502.4147595742038</x:v>
      </x:c>
      <x:c r="H149" s="563" t="n">
        <x:f>'_計算月次'!$K$5</x:f>
        <x:v>450</x:v>
      </x:c>
      <x:c r="I149" s="563" t="n">
        <x:f>(1-MAX(MIN('詳細設定'!$D$16,0.999999),0))^(B149-1)</x:f>
        <x:v>1</x:v>
      </x:c>
      <x:c r="J149" s="563" t="n">
        <x:f>MAX(G149*D149*I149,0)</x:f>
        <x:v>452.1732836167834</x:v>
      </x:c>
      <x:c r="K149" s="563" t="n">
        <x:f>MAX(MIN(J149*F149,H149),0)</x:f>
        <x:v>158.2606492658742</x:v>
      </x:c>
      <x:c r="L149" s="563" t="n">
        <x:f>MAX(J149-K149,0)</x:f>
        <x:v>293.91263435090923</x:v>
      </x:c>
      <x:c r="M149" s="185" t="n">
        <x:f>MAX('詳細設定'!$D$6,0)*(1+'詳細設定'!$D$21)^(B149-1)</x:f>
        <x:v>39.438876054618945</x:v>
      </x:c>
      <x:c r="N149" s="185" t="n">
        <x:f>IF(B149&lt;=MAX(MIN('詳細設定'!$D$8,20),0),MAX('詳細設定'!$D$7,0),IF(B149&lt;=MAX(MIN('詳細設定'!$D$10,20),0),MAX('詳細設定'!$D$9,0),MAX('詳細設定'!$D$11,0)))</x:f>
        <x:v>8.3</x:v>
      </x:c>
      <x:c r="O149" s="190" t="n">
        <x:f>K149*M149</x:f>
        <x:v>6241.622130720333</x:v>
      </x:c>
      <x:c r="P149" s="190" t="n">
        <x:f>L149*N149</x:f>
        <x:v>2439.474865112547</x:v>
      </x:c>
      <x:c r="Q149" s="190" t="n">
        <x:f>O149+P149</x:f>
        <x:v>8681.09699583288</x:v>
      </x:c>
      <x:c r="R149" s="196" t="n">
        <x:f>J149-K149-L149</x:f>
        <x:v>0</x:v>
      </x:c>
    </x:row>
    <x:row r="150">
      <x:c r="A150" s="20" t="str">
        <x:v>慎重</x:v>
      </x:c>
      <x:c r="B150" s="20" t="n">
        <x:v>13</x:v>
      </x:c>
      <x:c r="C150" s="20" t="n">
        <x:v>2</x:v>
      </x:c>
      <x:c r="D150" s="189" t="n">
        <x:v>0.9</x:v>
      </x:c>
      <x:c r="E150" s="189" t="n">
        <x:v>1.1</x:v>
      </x:c>
      <x:c r="F150" s="189" t="n">
        <x:f>MAX(MIN('詳細設定'!$D$15+-0.05,1),0)</x:f>
        <x:v>0.35000000000000003</x:v>
      </x:c>
      <x:c r="G150" s="563" t="n">
        <x:f>'_計算月次'!$J$6</x:f>
        <x:v>472.4508339500229</x:v>
      </x:c>
      <x:c r="H150" s="563" t="n">
        <x:f>'_計算月次'!$K$6</x:f>
        <x:v>405</x:v>
      </x:c>
      <x:c r="I150" s="563" t="n">
        <x:f>(1-MAX(MIN('詳細設定'!$D$16,0.999999),0))^(B150-1)</x:f>
        <x:v>1</x:v>
      </x:c>
      <x:c r="J150" s="563" t="n">
        <x:f>MAX(G150*D150*I150,0)</x:f>
        <x:v>425.20575055502064</x:v>
      </x:c>
      <x:c r="K150" s="563" t="n">
        <x:f>MAX(MIN(J150*F150,H150),0)</x:f>
        <x:v>148.82201269425724</x:v>
      </x:c>
      <x:c r="L150" s="563" t="n">
        <x:f>MAX(J150-K150,0)</x:f>
        <x:v>276.3837378607634</x:v>
      </x:c>
      <x:c r="M150" s="185" t="n">
        <x:f>MAX('詳細設定'!$D$6,0)*(1+'詳細設定'!$D$21)^(B150-1)</x:f>
        <x:v>39.438876054618945</x:v>
      </x:c>
      <x:c r="N150" s="185" t="n">
        <x:f>IF(B150&lt;=MAX(MIN('詳細設定'!$D$8,20),0),MAX('詳細設定'!$D$7,0),IF(B150&lt;=MAX(MIN('詳細設定'!$D$10,20),0),MAX('詳細設定'!$D$9,0),MAX('詳細設定'!$D$11,0)))</x:f>
        <x:v>8.3</x:v>
      </x:c>
      <x:c r="O150" s="190" t="n">
        <x:f>K150*M150</x:f>
        <x:v>5869.372912847738</x:v>
      </x:c>
      <x:c r="P150" s="190" t="n">
        <x:f>L150*N150</x:f>
        <x:v>2293.9850242443363</x:v>
      </x:c>
      <x:c r="Q150" s="190" t="n">
        <x:f>O150+P150</x:f>
        <x:v>8163.357937092074</x:v>
      </x:c>
      <x:c r="R150" s="196" t="n">
        <x:f>J150-K150-L150</x:f>
        <x:v>0</x:v>
      </x:c>
    </x:row>
    <x:row r="151">
      <x:c r="A151" s="20" t="str">
        <x:v>慎重</x:v>
      </x:c>
      <x:c r="B151" s="20" t="n">
        <x:v>13</x:v>
      </x:c>
      <x:c r="C151" s="20" t="n">
        <x:v>3</x:v>
      </x:c>
      <x:c r="D151" s="189" t="n">
        <x:v>0.9</x:v>
      </x:c>
      <x:c r="E151" s="189" t="n">
        <x:v>1.1</x:v>
      </x:c>
      <x:c r="F151" s="189" t="n">
        <x:f>MAX(MIN('詳細設定'!$D$15+-0.05,1),0)</x:f>
        <x:v>0.35000000000000003</x:v>
      </x:c>
      <x:c r="G151" s="563" t="n">
        <x:f>'_計算月次'!$J$7</x:f>
        <x:v>548.3418864753118</x:v>
      </x:c>
      <x:c r="H151" s="563" t="n">
        <x:f>'_計算月次'!$K$7</x:f>
        <x:v>360</x:v>
      </x:c>
      <x:c r="I151" s="563" t="n">
        <x:f>(1-MAX(MIN('詳細設定'!$D$16,0.999999),0))^(B151-1)</x:f>
        <x:v>1</x:v>
      </x:c>
      <x:c r="J151" s="563" t="n">
        <x:f>MAX(G151*D151*I151,0)</x:f>
        <x:v>493.5076978277806</x:v>
      </x:c>
      <x:c r="K151" s="563" t="n">
        <x:f>MAX(MIN(J151*F151,H151),0)</x:f>
        <x:v>172.72769423972323</x:v>
      </x:c>
      <x:c r="L151" s="563" t="n">
        <x:f>MAX(J151-K151,0)</x:f>
        <x:v>320.78000358805735</x:v>
      </x:c>
      <x:c r="M151" s="185" t="n">
        <x:f>MAX('詳細設定'!$D$6,0)*(1+'詳細設定'!$D$21)^(B151-1)</x:f>
        <x:v>39.438876054618945</x:v>
      </x:c>
      <x:c r="N151" s="185" t="n">
        <x:f>IF(B151&lt;=MAX(MIN('詳細設定'!$D$8,20),0),MAX('詳細設定'!$D$7,0),IF(B151&lt;=MAX(MIN('詳細設定'!$D$10,20),0),MAX('詳細設定'!$D$9,0),MAX('詳細設定'!$D$11,0)))</x:f>
        <x:v>8.3</x:v>
      </x:c>
      <x:c r="O151" s="190" t="n">
        <x:f>K151*M151</x:f>
        <x:v>6812.186124320563</x:v>
      </x:c>
      <x:c r="P151" s="190" t="n">
        <x:f>L151*N151</x:f>
        <x:v>2662.474029780876</x:v>
      </x:c>
      <x:c r="Q151" s="190" t="n">
        <x:f>O151+P151</x:f>
        <x:v>9474.660154101439</x:v>
      </x:c>
      <x:c r="R151" s="196" t="n">
        <x:f>J151-K151-L151</x:f>
        <x:v>0</x:v>
      </x:c>
    </x:row>
    <x:row r="152">
      <x:c r="A152" s="20" t="str">
        <x:v>慎重</x:v>
      </x:c>
      <x:c r="B152" s="20" t="n">
        <x:v>13</x:v>
      </x:c>
      <x:c r="C152" s="20" t="n">
        <x:v>4</x:v>
      </x:c>
      <x:c r="D152" s="189" t="n">
        <x:v>0.9</x:v>
      </x:c>
      <x:c r="E152" s="189" t="n">
        <x:v>1.1</x:v>
      </x:c>
      <x:c r="F152" s="189" t="n">
        <x:f>MAX(MIN('詳細設定'!$D$15+-0.05,1),0)</x:f>
        <x:v>0.35000000000000003</x:v>
      </x:c>
      <x:c r="G152" s="563" t="n">
        <x:f>'_計算月次'!$J$8</x:f>
        <x:v>548.3944393749554</x:v>
      </x:c>
      <x:c r="H152" s="563" t="n">
        <x:f>'_計算月次'!$K$8</x:f>
        <x:v>315.00000000000006</x:v>
      </x:c>
      <x:c r="I152" s="563" t="n">
        <x:f>(1-MAX(MIN('詳細設定'!$D$16,0.999999),0))^(B152-1)</x:f>
        <x:v>1</x:v>
      </x:c>
      <x:c r="J152" s="563" t="n">
        <x:f>MAX(G152*D152*I152,0)</x:f>
        <x:v>493.55499543745987</x:v>
      </x:c>
      <x:c r="K152" s="563" t="n">
        <x:f>MAX(MIN(J152*F152,H152),0)</x:f>
        <x:v>172.74424840311096</x:v>
      </x:c>
      <x:c r="L152" s="563" t="n">
        <x:f>MAX(J152-K152,0)</x:f>
        <x:v>320.8107470343489</x:v>
      </x:c>
      <x:c r="M152" s="185" t="n">
        <x:f>MAX('詳細設定'!$D$6,0)*(1+'詳細設定'!$D$21)^(B152-1)</x:f>
        <x:v>39.438876054618945</x:v>
      </x:c>
      <x:c r="N152" s="185" t="n">
        <x:f>IF(B152&lt;=MAX(MIN('詳細設定'!$D$8,20),0),MAX('詳細設定'!$D$7,0),IF(B152&lt;=MAX(MIN('詳細設定'!$D$10,20),0),MAX('詳細設定'!$D$9,0),MAX('詳細設定'!$D$11,0)))</x:f>
        <x:v>8.3</x:v>
      </x:c>
      <x:c r="O152" s="190" t="n">
        <x:f>K152*M152</x:f>
        <x:v>6812.8390019186</x:v>
      </x:c>
      <x:c r="P152" s="190" t="n">
        <x:f>L152*N152</x:f>
        <x:v>2662.7292003850957</x:v>
      </x:c>
      <x:c r="Q152" s="190" t="n">
        <x:f>O152+P152</x:f>
        <x:v>9475.568202303695</x:v>
      </x:c>
      <x:c r="R152" s="196" t="n">
        <x:f>J152-K152-L152</x:f>
        <x:v>0</x:v>
      </x:c>
    </x:row>
    <x:row r="153">
      <x:c r="A153" s="20" t="str">
        <x:v>慎重</x:v>
      </x:c>
      <x:c r="B153" s="20" t="n">
        <x:v>13</x:v>
      </x:c>
      <x:c r="C153" s="20" t="n">
        <x:v>5</x:v>
      </x:c>
      <x:c r="D153" s="189" t="n">
        <x:v>0.9</x:v>
      </x:c>
      <x:c r="E153" s="189" t="n">
        <x:v>1.1</x:v>
      </x:c>
      <x:c r="F153" s="189" t="n">
        <x:f>MAX(MIN('詳細設定'!$D$15+-0.05,1),0)</x:f>
        <x:v>0.35000000000000003</x:v>
      </x:c>
      <x:c r="G153" s="563" t="n">
        <x:f>'_計算月次'!$J$9</x:f>
        <x:v>552.2367574934775</x:v>
      </x:c>
      <x:c r="H153" s="563" t="n">
        <x:f>'_計算月次'!$K$9</x:f>
        <x:v>315.00000000000006</x:v>
      </x:c>
      <x:c r="I153" s="563" t="n">
        <x:f>(1-MAX(MIN('詳細設定'!$D$16,0.999999),0))^(B153-1)</x:f>
        <x:v>1</x:v>
      </x:c>
      <x:c r="J153" s="563" t="n">
        <x:f>MAX(G153*D153*I153,0)</x:f>
        <x:v>497.01308174412975</x:v>
      </x:c>
      <x:c r="K153" s="563" t="n">
        <x:f>MAX(MIN(J153*F153,H153),0)</x:f>
        <x:v>173.95457861044542</x:v>
      </x:c>
      <x:c r="L153" s="563" t="n">
        <x:f>MAX(J153-K153,0)</x:f>
        <x:v>323.0585031336843</x:v>
      </x:c>
      <x:c r="M153" s="185" t="n">
        <x:f>MAX('詳細設定'!$D$6,0)*(1+'詳細設定'!$D$21)^(B153-1)</x:f>
        <x:v>39.438876054618945</x:v>
      </x:c>
      <x:c r="N153" s="185" t="n">
        <x:f>IF(B153&lt;=MAX(MIN('詳細設定'!$D$8,20),0),MAX('詳細設定'!$D$7,0),IF(B153&lt;=MAX(MIN('詳細設定'!$D$10,20),0),MAX('詳細設定'!$D$9,0),MAX('詳細設定'!$D$11,0)))</x:f>
        <x:v>8.3</x:v>
      </x:c>
      <x:c r="O153" s="190" t="n">
        <x:f>K153*M153</x:f>
        <x:v>6860.573064950825</x:v>
      </x:c>
      <x:c r="P153" s="190" t="n">
        <x:f>L153*N153</x:f>
        <x:v>2681.3855760095803</x:v>
      </x:c>
      <x:c r="Q153" s="190" t="n">
        <x:f>O153+P153</x:f>
        <x:v>9541.958640960405</x:v>
      </x:c>
      <x:c r="R153" s="196" t="n">
        <x:f>J153-K153-L153</x:f>
        <x:v>0</x:v>
      </x:c>
    </x:row>
    <x:row r="154">
      <x:c r="A154" s="20" t="str">
        <x:v>慎重</x:v>
      </x:c>
      <x:c r="B154" s="20" t="n">
        <x:v>13</x:v>
      </x:c>
      <x:c r="C154" s="20" t="n">
        <x:v>6</x:v>
      </x:c>
      <x:c r="D154" s="189" t="n">
        <x:v>0.9</x:v>
      </x:c>
      <x:c r="E154" s="189" t="n">
        <x:v>1.1</x:v>
      </x:c>
      <x:c r="F154" s="189" t="n">
        <x:f>MAX(MIN('詳細設定'!$D$15+-0.05,1),0)</x:f>
        <x:v>0.35000000000000003</x:v>
      </x:c>
      <x:c r="G154" s="563" t="n">
        <x:f>'_計算月次'!$J$10</x:f>
        <x:v>448.7994857612148</x:v>
      </x:c>
      <x:c r="H154" s="563" t="n">
        <x:f>'_計算月次'!$K$10</x:f>
        <x:v>360</x:v>
      </x:c>
      <x:c r="I154" s="563" t="n">
        <x:f>(1-MAX(MIN('詳細設定'!$D$16,0.999999),0))^(B154-1)</x:f>
        <x:v>1</x:v>
      </x:c>
      <x:c r="J154" s="563" t="n">
        <x:f>MAX(G154*D154*I154,0)</x:f>
        <x:v>403.9195371850933</x:v>
      </x:c>
      <x:c r="K154" s="563" t="n">
        <x:f>MAX(MIN(J154*F154,H154),0)</x:f>
        <x:v>141.37183801478267</x:v>
      </x:c>
      <x:c r="L154" s="563" t="n">
        <x:f>MAX(J154-K154,0)</x:f>
        <x:v>262.54769917031064</x:v>
      </x:c>
      <x:c r="M154" s="185" t="n">
        <x:f>MAX('詳細設定'!$D$6,0)*(1+'詳細設定'!$D$21)^(B154-1)</x:f>
        <x:v>39.438876054618945</x:v>
      </x:c>
      <x:c r="N154" s="185" t="n">
        <x:f>IF(B154&lt;=MAX(MIN('詳細設定'!$D$8,20),0),MAX('詳細設定'!$D$7,0),IF(B154&lt;=MAX(MIN('詳細設定'!$D$10,20),0),MAX('詳細設定'!$D$9,0),MAX('詳細設定'!$D$11,0)))</x:f>
        <x:v>8.3</x:v>
      </x:c>
      <x:c r="O154" s="190" t="n">
        <x:f>K154*M154</x:f>
        <x:v>5575.5463970786805</x:v>
      </x:c>
      <x:c r="P154" s="190" t="n">
        <x:f>L154*N154</x:f>
        <x:v>2179.1459031135782</x:v>
      </x:c>
      <x:c r="Q154" s="190" t="n">
        <x:f>O154+P154</x:f>
        <x:v>7754.692300192259</x:v>
      </x:c>
      <x:c r="R154" s="196" t="n">
        <x:f>J154-K154-L154</x:f>
        <x:v>0</x:v>
      </x:c>
    </x:row>
    <x:row r="155">
      <x:c r="A155" s="20" t="str">
        <x:v>慎重</x:v>
      </x:c>
      <x:c r="B155" s="20" t="n">
        <x:v>13</x:v>
      </x:c>
      <x:c r="C155" s="20" t="n">
        <x:v>7</x:v>
      </x:c>
      <x:c r="D155" s="189" t="n">
        <x:v>0.9</x:v>
      </x:c>
      <x:c r="E155" s="189" t="n">
        <x:v>1.1</x:v>
      </x:c>
      <x:c r="F155" s="189" t="n">
        <x:f>MAX(MIN('詳細設定'!$D$15+-0.05,1),0)</x:f>
        <x:v>0.35000000000000003</x:v>
      </x:c>
      <x:c r="G155" s="563" t="n">
        <x:f>'_計算月次'!$J$11</x:f>
        <x:v>476.0181638067866</x:v>
      </x:c>
      <x:c r="H155" s="563" t="n">
        <x:f>'_計算月次'!$K$11</x:f>
        <x:v>405</x:v>
      </x:c>
      <x:c r="I155" s="563" t="n">
        <x:f>(1-MAX(MIN('詳細設定'!$D$16,0.999999),0))^(B155-1)</x:f>
        <x:v>1</x:v>
      </x:c>
      <x:c r="J155" s="563" t="n">
        <x:f>MAX(G155*D155*I155,0)</x:f>
        <x:v>428.41634742610796</x:v>
      </x:c>
      <x:c r="K155" s="563" t="n">
        <x:f>MAX(MIN(J155*F155,H155),0)</x:f>
        <x:v>149.9457215991378</x:v>
      </x:c>
      <x:c r="L155" s="563" t="n">
        <x:f>MAX(J155-K155,0)</x:f>
        <x:v>278.47062582697015</x:v>
      </x:c>
      <x:c r="M155" s="185" t="n">
        <x:f>MAX('詳細設定'!$D$6,0)*(1+'詳細設定'!$D$21)^(B155-1)</x:f>
        <x:v>39.438876054618945</x:v>
      </x:c>
      <x:c r="N155" s="185" t="n">
        <x:f>IF(B155&lt;=MAX(MIN('詳細設定'!$D$8,20),0),MAX('詳細設定'!$D$7,0),IF(B155&lt;=MAX(MIN('詳細設定'!$D$10,20),0),MAX('詳細設定'!$D$9,0),MAX('詳細設定'!$D$11,0)))</x:f>
        <x:v>8.3</x:v>
      </x:c>
      <x:c r="O155" s="190" t="n">
        <x:f>K155*M155</x:f>
        <x:v>5913.690729068795</x:v>
      </x:c>
      <x:c r="P155" s="190" t="n">
        <x:f>L155*N155</x:f>
        <x:v>2311.3061943638522</x:v>
      </x:c>
      <x:c r="Q155" s="190" t="n">
        <x:f>O155+P155</x:f>
        <x:v>8224.996923432647</x:v>
      </x:c>
      <x:c r="R155" s="196" t="n">
        <x:f>J155-K155-L155</x:f>
        <x:v>0</x:v>
      </x:c>
    </x:row>
    <x:row r="156">
      <x:c r="A156" s="20" t="str">
        <x:v>慎重</x:v>
      </x:c>
      <x:c r="B156" s="20" t="n">
        <x:v>13</x:v>
      </x:c>
      <x:c r="C156" s="20" t="n">
        <x:v>8</x:v>
      </x:c>
      <x:c r="D156" s="189" t="n">
        <x:v>0.9</x:v>
      </x:c>
      <x:c r="E156" s="189" t="n">
        <x:v>1.1</x:v>
      </x:c>
      <x:c r="F156" s="189" t="n">
        <x:f>MAX(MIN('詳細設定'!$D$15+-0.05,1),0)</x:f>
        <x:v>0.35000000000000003</x:v>
      </x:c>
      <x:c r="G156" s="563" t="n">
        <x:f>'_計算月次'!$J$12</x:f>
        <x:v>528.6548067323699</x:v>
      </x:c>
      <x:c r="H156" s="563" t="n">
        <x:f>'_計算月次'!$K$12</x:f>
        <x:v>450</x:v>
      </x:c>
      <x:c r="I156" s="563" t="n">
        <x:f>(1-MAX(MIN('詳細設定'!$D$16,0.999999),0))^(B156-1)</x:f>
        <x:v>1</x:v>
      </x:c>
      <x:c r="J156" s="563" t="n">
        <x:f>MAX(G156*D156*I156,0)</x:f>
        <x:v>475.789326059133</x:v>
      </x:c>
      <x:c r="K156" s="563" t="n">
        <x:f>MAX(MIN(J156*F156,H156),0)</x:f>
        <x:v>166.52626412069657</x:v>
      </x:c>
      <x:c r="L156" s="563" t="n">
        <x:f>MAX(J156-K156,0)</x:f>
        <x:v>309.2630619384364</x:v>
      </x:c>
      <x:c r="M156" s="185" t="n">
        <x:f>MAX('詳細設定'!$D$6,0)*(1+'詳細設定'!$D$21)^(B156-1)</x:f>
        <x:v>39.438876054618945</x:v>
      </x:c>
      <x:c r="N156" s="185" t="n">
        <x:f>IF(B156&lt;=MAX(MIN('詳細設定'!$D$8,20),0),MAX('詳細設定'!$D$7,0),IF(B156&lt;=MAX(MIN('詳細設定'!$D$10,20),0),MAX('詳細設定'!$D$9,0),MAX('詳細設定'!$D$11,0)))</x:f>
        <x:v>8.3</x:v>
      </x:c>
      <x:c r="O156" s="190" t="n">
        <x:f>K156*M156</x:f>
        <x:v>6567.60869049489</x:v>
      </x:c>
      <x:c r="P156" s="190" t="n">
        <x:f>L156*N156</x:f>
        <x:v>2566.8834140890226</x:v>
      </x:c>
      <x:c r="Q156" s="190" t="n">
        <x:f>O156+P156</x:f>
        <x:v>9134.492104583913</x:v>
      </x:c>
      <x:c r="R156" s="196" t="n">
        <x:f>J156-K156-L156</x:f>
        <x:v>0</x:v>
      </x:c>
    </x:row>
    <x:row r="157">
      <x:c r="A157" s="20" t="str">
        <x:v>慎重</x:v>
      </x:c>
      <x:c r="B157" s="20" t="n">
        <x:v>13</x:v>
      </x:c>
      <x:c r="C157" s="20" t="n">
        <x:v>9</x:v>
      </x:c>
      <x:c r="D157" s="189" t="n">
        <x:v>0.9</x:v>
      </x:c>
      <x:c r="E157" s="189" t="n">
        <x:v>1.1</x:v>
      </x:c>
      <x:c r="F157" s="189" t="n">
        <x:f>MAX(MIN('詳細設定'!$D$15+-0.05,1),0)</x:f>
        <x:v>0.35000000000000003</x:v>
      </x:c>
      <x:c r="G157" s="563" t="n">
        <x:f>'_計算月次'!$J$13</x:f>
        <x:v>436.37734765103465</x:v>
      </x:c>
      <x:c r="H157" s="563" t="n">
        <x:f>'_計算月次'!$K$13</x:f>
        <x:v>360</x:v>
      </x:c>
      <x:c r="I157" s="563" t="n">
        <x:f>(1-MAX(MIN('詳細設定'!$D$16,0.999999),0))^(B157-1)</x:f>
        <x:v>1</x:v>
      </x:c>
      <x:c r="J157" s="563" t="n">
        <x:f>MAX(G157*D157*I157,0)</x:f>
        <x:v>392.7396128859312</x:v>
      </x:c>
      <x:c r="K157" s="563" t="n">
        <x:f>MAX(MIN(J157*F157,H157),0)</x:f>
        <x:v>137.45886451007593</x:v>
      </x:c>
      <x:c r="L157" s="563" t="n">
        <x:f>MAX(J157-K157,0)</x:f>
        <x:v>255.28074837585527</x:v>
      </x:c>
      <x:c r="M157" s="185" t="n">
        <x:f>MAX('詳細設定'!$D$6,0)*(1+'詳細設定'!$D$21)^(B157-1)</x:f>
        <x:v>39.438876054618945</x:v>
      </x:c>
      <x:c r="N157" s="185" t="n">
        <x:f>IF(B157&lt;=MAX(MIN('詳細設定'!$D$8,20),0),MAX('詳細設定'!$D$7,0),IF(B157&lt;=MAX(MIN('詳細設定'!$D$10,20),0),MAX('詳細設定'!$D$9,0),MAX('詳細設定'!$D$11,0)))</x:f>
        <x:v>8.3</x:v>
      </x:c>
      <x:c r="O157" s="190" t="n">
        <x:f>K157*M157</x:f>
        <x:v>5421.223120021544</x:v>
      </x:c>
      <x:c r="P157" s="190" t="n">
        <x:f>L157*N157</x:f>
        <x:v>2118.830211519599</x:v>
      </x:c>
      <x:c r="Q157" s="190" t="n">
        <x:f>O157+P157</x:f>
        <x:v>7540.053331541143</x:v>
      </x:c>
      <x:c r="R157" s="196" t="n">
        <x:f>J157-K157-L157</x:f>
        <x:v>0</x:v>
      </x:c>
    </x:row>
    <x:row r="158">
      <x:c r="A158" s="20" t="str">
        <x:v>慎重</x:v>
      </x:c>
      <x:c r="B158" s="20" t="n">
        <x:v>13</x:v>
      </x:c>
      <x:c r="C158" s="20" t="n">
        <x:v>10</x:v>
      </x:c>
      <x:c r="D158" s="189" t="n">
        <x:v>0.9</x:v>
      </x:c>
      <x:c r="E158" s="189" t="n">
        <x:v>1.1</x:v>
      </x:c>
      <x:c r="F158" s="189" t="n">
        <x:f>MAX(MIN('詳細設定'!$D$15+-0.05,1),0)</x:f>
        <x:v>0.35000000000000003</x:v>
      </x:c>
      <x:c r="G158" s="563" t="n">
        <x:f>'_計算月次'!$J$14</x:f>
        <x:v>408.8269849869007</x:v>
      </x:c>
      <x:c r="H158" s="563" t="n">
        <x:f>'_計算月次'!$K$14</x:f>
        <x:v>315.00000000000006</x:v>
      </x:c>
      <x:c r="I158" s="563" t="n">
        <x:f>(1-MAX(MIN('詳細設定'!$D$16,0.999999),0))^(B158-1)</x:f>
        <x:v>1</x:v>
      </x:c>
      <x:c r="J158" s="563" t="n">
        <x:f>MAX(G158*D158*I158,0)</x:f>
        <x:v>367.94428648821065</x:v>
      </x:c>
      <x:c r="K158" s="563" t="n">
        <x:f>MAX(MIN(J158*F158,H158),0)</x:f>
        <x:v>128.78050027087374</x:v>
      </x:c>
      <x:c r="L158" s="563" t="n">
        <x:f>MAX(J158-K158,0)</x:f>
        <x:v>239.1637862173369</x:v>
      </x:c>
      <x:c r="M158" s="185" t="n">
        <x:f>MAX('詳細設定'!$D$6,0)*(1+'詳細設定'!$D$21)^(B158-1)</x:f>
        <x:v>39.438876054618945</x:v>
      </x:c>
      <x:c r="N158" s="185" t="n">
        <x:f>IF(B158&lt;=MAX(MIN('詳細設定'!$D$8,20),0),MAX('詳細設定'!$D$7,0),IF(B158&lt;=MAX(MIN('詳細設定'!$D$10,20),0),MAX('詳細設定'!$D$9,0),MAX('詳細設定'!$D$11,0)))</x:f>
        <x:v>8.3</x:v>
      </x:c>
      <x:c r="O158" s="190" t="n">
        <x:f>K158*M158</x:f>
        <x:v>5078.958188434811</x:v>
      </x:c>
      <x:c r="P158" s="190" t="n">
        <x:f>L158*N158</x:f>
        <x:v>1985.0594256038964</x:v>
      </x:c>
      <x:c r="Q158" s="190" t="n">
        <x:f>O158+P158</x:f>
        <x:v>7064.0176140387075</x:v>
      </x:c>
      <x:c r="R158" s="196" t="n">
        <x:f>J158-K158-L158</x:f>
        <x:v>0</x:v>
      </x:c>
    </x:row>
    <x:row r="159">
      <x:c r="A159" s="20" t="str">
        <x:v>慎重</x:v>
      </x:c>
      <x:c r="B159" s="20" t="n">
        <x:v>13</x:v>
      </x:c>
      <x:c r="C159" s="20" t="n">
        <x:v>11</x:v>
      </x:c>
      <x:c r="D159" s="189" t="n">
        <x:v>0.9</x:v>
      </x:c>
      <x:c r="E159" s="189" t="n">
        <x:v>1.1</x:v>
      </x:c>
      <x:c r="F159" s="189" t="n">
        <x:f>MAX(MIN('詳細設定'!$D$15+-0.05,1),0)</x:f>
        <x:v>0.35000000000000003</x:v>
      </x:c>
      <x:c r="G159" s="563" t="n">
        <x:f>'_計算月次'!$J$15</x:f>
        <x:v>398.45169764745054</x:v>
      </x:c>
      <x:c r="H159" s="563" t="n">
        <x:f>'_計算月次'!$K$15</x:f>
        <x:v>360</x:v>
      </x:c>
      <x:c r="I159" s="563" t="n">
        <x:f>(1-MAX(MIN('詳細設定'!$D$16,0.999999),0))^(B159-1)</x:f>
        <x:v>1</x:v>
      </x:c>
      <x:c r="J159" s="563" t="n">
        <x:f>MAX(G159*D159*I159,0)</x:f>
        <x:v>358.6065278827055</x:v>
      </x:c>
      <x:c r="K159" s="563" t="n">
        <x:f>MAX(MIN(J159*F159,H159),0)</x:f>
        <x:v>125.51228475894693</x:v>
      </x:c>
      <x:c r="L159" s="563" t="n">
        <x:f>MAX(J159-K159,0)</x:f>
        <x:v>233.0942431237586</x:v>
      </x:c>
      <x:c r="M159" s="185" t="n">
        <x:f>MAX('詳細設定'!$D$6,0)*(1+'詳細設定'!$D$21)^(B159-1)</x:f>
        <x:v>39.438876054618945</x:v>
      </x:c>
      <x:c r="N159" s="185" t="n">
        <x:f>IF(B159&lt;=MAX(MIN('詳細設定'!$D$8,20),0),MAX('詳細設定'!$D$7,0),IF(B159&lt;=MAX(MIN('詳細設定'!$D$10,20),0),MAX('詳細設定'!$D$9,0),MAX('詳細設定'!$D$11,0)))</x:f>
        <x:v>8.3</x:v>
      </x:c>
      <x:c r="O159" s="190" t="n">
        <x:f>K159*M159</x:f>
        <x:v>4950.063441940147</x:v>
      </x:c>
      <x:c r="P159" s="190" t="n">
        <x:f>L159*N159</x:f>
        <x:v>1934.6822179271965</x:v>
      </x:c>
      <x:c r="Q159" s="190" t="n">
        <x:f>O159+P159</x:f>
        <x:v>6884.745659867343</x:v>
      </x:c>
      <x:c r="R159" s="196" t="n">
        <x:f>J159-K159-L159</x:f>
        <x:v>0</x:v>
      </x:c>
    </x:row>
    <x:row r="160">
      <x:c r="A160" s="20" t="str">
        <x:v>慎重</x:v>
      </x:c>
      <x:c r="B160" s="20" t="n">
        <x:v>13</x:v>
      </x:c>
      <x:c r="C160" s="20" t="n">
        <x:v>12</x:v>
      </x:c>
      <x:c r="D160" s="189" t="n">
        <x:v>0.9</x:v>
      </x:c>
      <x:c r="E160" s="189" t="n">
        <x:v>1.1</x:v>
      </x:c>
      <x:c r="F160" s="189" t="n">
        <x:f>MAX(MIN('詳細設定'!$D$15+-0.05,1),0)</x:f>
        <x:v>0.35000000000000003</x:v>
      </x:c>
      <x:c r="G160" s="563" t="n">
        <x:f>'_計算月次'!$J$16</x:f>
        <x:v>443.97248688000184</x:v>
      </x:c>
      <x:c r="H160" s="563" t="n">
        <x:f>'_計算月次'!$K$16</x:f>
        <x:v>405</x:v>
      </x:c>
      <x:c r="I160" s="563" t="n">
        <x:f>(1-MAX(MIN('詳細設定'!$D$16,0.999999),0))^(B160-1)</x:f>
        <x:v>1</x:v>
      </x:c>
      <x:c r="J160" s="563" t="n">
        <x:f>MAX(G160*D160*I160,0)</x:f>
        <x:v>399.5752381920017</x:v>
      </x:c>
      <x:c r="K160" s="563" t="n">
        <x:f>MAX(MIN(J160*F160,H160),0)</x:f>
        <x:v>139.8513333672006</x:v>
      </x:c>
      <x:c r="L160" s="563" t="n">
        <x:f>MAX(J160-K160,0)</x:f>
        <x:v>259.7239048248011</x:v>
      </x:c>
      <x:c r="M160" s="185" t="n">
        <x:f>MAX('詳細設定'!$D$6,0)*(1+'詳細設定'!$D$21)^(B160-1)</x:f>
        <x:v>39.438876054618945</x:v>
      </x:c>
      <x:c r="N160" s="185" t="n">
        <x:f>IF(B160&lt;=MAX(MIN('詳細設定'!$D$8,20),0),MAX('詳細設定'!$D$7,0),IF(B160&lt;=MAX(MIN('詳細設定'!$D$10,20),0),MAX('詳細設定'!$D$9,0),MAX('詳細設定'!$D$11,0)))</x:f>
        <x:v>8.3</x:v>
      </x:c>
      <x:c r="O160" s="190" t="n">
        <x:f>K160*M160</x:f>
        <x:v>5515.579402742219</x:v>
      </x:c>
      <x:c r="P160" s="190" t="n">
        <x:f>L160*N160</x:f>
        <x:v>2155.708410045849</x:v>
      </x:c>
      <x:c r="Q160" s="190" t="n">
        <x:f>O160+P160</x:f>
        <x:v>7671.287812788069</x:v>
      </x:c>
      <x:c r="R160" s="196" t="n">
        <x:f>J160-K160-L160</x:f>
        <x:v>0</x:v>
      </x:c>
    </x:row>
    <x:row r="161">
      <x:c r="A161" s="20" t="str">
        <x:v>慎重</x:v>
      </x:c>
      <x:c r="B161" s="20" t="n">
        <x:v>14</x:v>
      </x:c>
      <x:c r="C161" s="20" t="n">
        <x:v>1</x:v>
      </x:c>
      <x:c r="D161" s="189" t="n">
        <x:v>0.9</x:v>
      </x:c>
      <x:c r="E161" s="189" t="n">
        <x:v>1.1</x:v>
      </x:c>
      <x:c r="F161" s="189" t="n">
        <x:f>MAX(MIN('詳細設定'!$D$15+-0.05,1),0)</x:f>
        <x:v>0.35000000000000003</x:v>
      </x:c>
      <x:c r="G161" s="563" t="n">
        <x:f>'_計算月次'!$J$5</x:f>
        <x:v>502.4147595742038</x:v>
      </x:c>
      <x:c r="H161" s="563" t="n">
        <x:f>'_計算月次'!$K$5</x:f>
        <x:v>450</x:v>
      </x:c>
      <x:c r="I161" s="563" t="n">
        <x:f>(1-MAX(MIN('詳細設定'!$D$16,0.999999),0))^(B161-1)</x:f>
        <x:v>1</x:v>
      </x:c>
      <x:c r="J161" s="563" t="n">
        <x:f>MAX(G161*D161*I161,0)</x:f>
        <x:v>452.1732836167834</x:v>
      </x:c>
      <x:c r="K161" s="563" t="n">
        <x:f>MAX(MIN(J161*F161,H161),0)</x:f>
        <x:v>158.2606492658742</x:v>
      </x:c>
      <x:c r="L161" s="563" t="n">
        <x:f>MAX(J161-K161,0)</x:f>
        <x:v>293.91263435090923</x:v>
      </x:c>
      <x:c r="M161" s="185" t="n">
        <x:f>MAX('詳細設定'!$D$6,0)*(1+'詳細設定'!$D$21)^(B161-1)</x:f>
        <x:v>39.83326481516513</x:v>
      </x:c>
      <x:c r="N161" s="185" t="n">
        <x:f>IF(B161&lt;=MAX(MIN('詳細設定'!$D$8,20),0),MAX('詳細設定'!$D$7,0),IF(B161&lt;=MAX(MIN('詳細設定'!$D$10,20),0),MAX('詳細設定'!$D$9,0),MAX('詳細設定'!$D$11,0)))</x:f>
        <x:v>8.3</x:v>
      </x:c>
      <x:c r="O161" s="190" t="n">
        <x:f>K161*M161</x:f>
        <x:v>6304.038352027536</x:v>
      </x:c>
      <x:c r="P161" s="190" t="n">
        <x:f>L161*N161</x:f>
        <x:v>2439.474865112547</x:v>
      </x:c>
      <x:c r="Q161" s="190" t="n">
        <x:f>O161+P161</x:f>
        <x:v>8743.513217140084</x:v>
      </x:c>
      <x:c r="R161" s="196" t="n">
        <x:f>J161-K161-L161</x:f>
        <x:v>0</x:v>
      </x:c>
    </x:row>
    <x:row r="162">
      <x:c r="A162" s="20" t="str">
        <x:v>慎重</x:v>
      </x:c>
      <x:c r="B162" s="20" t="n">
        <x:v>14</x:v>
      </x:c>
      <x:c r="C162" s="20" t="n">
        <x:v>2</x:v>
      </x:c>
      <x:c r="D162" s="189" t="n">
        <x:v>0.9</x:v>
      </x:c>
      <x:c r="E162" s="189" t="n">
        <x:v>1.1</x:v>
      </x:c>
      <x:c r="F162" s="189" t="n">
        <x:f>MAX(MIN('詳細設定'!$D$15+-0.05,1),0)</x:f>
        <x:v>0.35000000000000003</x:v>
      </x:c>
      <x:c r="G162" s="563" t="n">
        <x:f>'_計算月次'!$J$6</x:f>
        <x:v>472.4508339500229</x:v>
      </x:c>
      <x:c r="H162" s="563" t="n">
        <x:f>'_計算月次'!$K$6</x:f>
        <x:v>405</x:v>
      </x:c>
      <x:c r="I162" s="563" t="n">
        <x:f>(1-MAX(MIN('詳細設定'!$D$16,0.999999),0))^(B162-1)</x:f>
        <x:v>1</x:v>
      </x:c>
      <x:c r="J162" s="563" t="n">
        <x:f>MAX(G162*D162*I162,0)</x:f>
        <x:v>425.20575055502064</x:v>
      </x:c>
      <x:c r="K162" s="563" t="n">
        <x:f>MAX(MIN(J162*F162,H162),0)</x:f>
        <x:v>148.82201269425724</x:v>
      </x:c>
      <x:c r="L162" s="563" t="n">
        <x:f>MAX(J162-K162,0)</x:f>
        <x:v>276.3837378607634</x:v>
      </x:c>
      <x:c r="M162" s="185" t="n">
        <x:f>MAX('詳細設定'!$D$6,0)*(1+'詳細設定'!$D$21)^(B162-1)</x:f>
        <x:v>39.83326481516513</x:v>
      </x:c>
      <x:c r="N162" s="185" t="n">
        <x:f>IF(B162&lt;=MAX(MIN('詳細設定'!$D$8,20),0),MAX('詳細設定'!$D$7,0),IF(B162&lt;=MAX(MIN('詳細設定'!$D$10,20),0),MAX('詳細設定'!$D$9,0),MAX('詳細設定'!$D$11,0)))</x:f>
        <x:v>8.3</x:v>
      </x:c>
      <x:c r="O162" s="190" t="n">
        <x:f>K162*M162</x:f>
        <x:v>5928.066641976216</x:v>
      </x:c>
      <x:c r="P162" s="190" t="n">
        <x:f>L162*N162</x:f>
        <x:v>2293.9850242443363</x:v>
      </x:c>
      <x:c r="Q162" s="190" t="n">
        <x:f>O162+P162</x:f>
        <x:v>8222.051666220552</x:v>
      </x:c>
      <x:c r="R162" s="196" t="n">
        <x:f>J162-K162-L162</x:f>
        <x:v>0</x:v>
      </x:c>
    </x:row>
    <x:row r="163">
      <x:c r="A163" s="20" t="str">
        <x:v>慎重</x:v>
      </x:c>
      <x:c r="B163" s="20" t="n">
        <x:v>14</x:v>
      </x:c>
      <x:c r="C163" s="20" t="n">
        <x:v>3</x:v>
      </x:c>
      <x:c r="D163" s="189" t="n">
        <x:v>0.9</x:v>
      </x:c>
      <x:c r="E163" s="189" t="n">
        <x:v>1.1</x:v>
      </x:c>
      <x:c r="F163" s="189" t="n">
        <x:f>MAX(MIN('詳細設定'!$D$15+-0.05,1),0)</x:f>
        <x:v>0.35000000000000003</x:v>
      </x:c>
      <x:c r="G163" s="563" t="n">
        <x:f>'_計算月次'!$J$7</x:f>
        <x:v>548.3418864753118</x:v>
      </x:c>
      <x:c r="H163" s="563" t="n">
        <x:f>'_計算月次'!$K$7</x:f>
        <x:v>360</x:v>
      </x:c>
      <x:c r="I163" s="563" t="n">
        <x:f>(1-MAX(MIN('詳細設定'!$D$16,0.999999),0))^(B163-1)</x:f>
        <x:v>1</x:v>
      </x:c>
      <x:c r="J163" s="563" t="n">
        <x:f>MAX(G163*D163*I163,0)</x:f>
        <x:v>493.5076978277806</x:v>
      </x:c>
      <x:c r="K163" s="563" t="n">
        <x:f>MAX(MIN(J163*F163,H163),0)</x:f>
        <x:v>172.72769423972323</x:v>
      </x:c>
      <x:c r="L163" s="563" t="n">
        <x:f>MAX(J163-K163,0)</x:f>
        <x:v>320.78000358805735</x:v>
      </x:c>
      <x:c r="M163" s="185" t="n">
        <x:f>MAX('詳細設定'!$D$6,0)*(1+'詳細設定'!$D$21)^(B163-1)</x:f>
        <x:v>39.83326481516513</x:v>
      </x:c>
      <x:c r="N163" s="185" t="n">
        <x:f>IF(B163&lt;=MAX(MIN('詳細設定'!$D$8,20),0),MAX('詳細設定'!$D$7,0),IF(B163&lt;=MAX(MIN('詳細設定'!$D$10,20),0),MAX('詳細設定'!$D$9,0),MAX('詳細設定'!$D$11,0)))</x:f>
        <x:v>8.3</x:v>
      </x:c>
      <x:c r="O163" s="190" t="n">
        <x:f>K163*M163</x:f>
        <x:v>6880.307985563768</x:v>
      </x:c>
      <x:c r="P163" s="190" t="n">
        <x:f>L163*N163</x:f>
        <x:v>2662.474029780876</x:v>
      </x:c>
      <x:c r="Q163" s="190" t="n">
        <x:f>O163+P163</x:f>
        <x:v>9542.782015344645</x:v>
      </x:c>
      <x:c r="R163" s="196" t="n">
        <x:f>J163-K163-L163</x:f>
        <x:v>0</x:v>
      </x:c>
    </x:row>
    <x:row r="164">
      <x:c r="A164" s="20" t="str">
        <x:v>慎重</x:v>
      </x:c>
      <x:c r="B164" s="20" t="n">
        <x:v>14</x:v>
      </x:c>
      <x:c r="C164" s="20" t="n">
        <x:v>4</x:v>
      </x:c>
      <x:c r="D164" s="189" t="n">
        <x:v>0.9</x:v>
      </x:c>
      <x:c r="E164" s="189" t="n">
        <x:v>1.1</x:v>
      </x:c>
      <x:c r="F164" s="189" t="n">
        <x:f>MAX(MIN('詳細設定'!$D$15+-0.05,1),0)</x:f>
        <x:v>0.35000000000000003</x:v>
      </x:c>
      <x:c r="G164" s="563" t="n">
        <x:f>'_計算月次'!$J$8</x:f>
        <x:v>548.3944393749554</x:v>
      </x:c>
      <x:c r="H164" s="563" t="n">
        <x:f>'_計算月次'!$K$8</x:f>
        <x:v>315.00000000000006</x:v>
      </x:c>
      <x:c r="I164" s="563" t="n">
        <x:f>(1-MAX(MIN('詳細設定'!$D$16,0.999999),0))^(B164-1)</x:f>
        <x:v>1</x:v>
      </x:c>
      <x:c r="J164" s="563" t="n">
        <x:f>MAX(G164*D164*I164,0)</x:f>
        <x:v>493.55499543745987</x:v>
      </x:c>
      <x:c r="K164" s="563" t="n">
        <x:f>MAX(MIN(J164*F164,H164),0)</x:f>
        <x:v>172.74424840311096</x:v>
      </x:c>
      <x:c r="L164" s="563" t="n">
        <x:f>MAX(J164-K164,0)</x:f>
        <x:v>320.8107470343489</x:v>
      </x:c>
      <x:c r="M164" s="185" t="n">
        <x:f>MAX('詳細設定'!$D$6,0)*(1+'詳細設定'!$D$21)^(B164-1)</x:f>
        <x:v>39.83326481516513</x:v>
      </x:c>
      <x:c r="N164" s="185" t="n">
        <x:f>IF(B164&lt;=MAX(MIN('詳細設定'!$D$8,20),0),MAX('詳細設定'!$D$7,0),IF(B164&lt;=MAX(MIN('詳細設定'!$D$10,20),0),MAX('詳細設定'!$D$9,0),MAX('詳細設定'!$D$11,0)))</x:f>
        <x:v>8.3</x:v>
      </x:c>
      <x:c r="O164" s="190" t="n">
        <x:f>K164*M164</x:f>
        <x:v>6880.967391937785</x:v>
      </x:c>
      <x:c r="P164" s="190" t="n">
        <x:f>L164*N164</x:f>
        <x:v>2662.7292003850957</x:v>
      </x:c>
      <x:c r="Q164" s="190" t="n">
        <x:f>O164+P164</x:f>
        <x:v>9543.69659232288</x:v>
      </x:c>
      <x:c r="R164" s="196" t="n">
        <x:f>J164-K164-L164</x:f>
        <x:v>0</x:v>
      </x:c>
    </x:row>
    <x:row r="165">
      <x:c r="A165" s="20" t="str">
        <x:v>慎重</x:v>
      </x:c>
      <x:c r="B165" s="20" t="n">
        <x:v>14</x:v>
      </x:c>
      <x:c r="C165" s="20" t="n">
        <x:v>5</x:v>
      </x:c>
      <x:c r="D165" s="189" t="n">
        <x:v>0.9</x:v>
      </x:c>
      <x:c r="E165" s="189" t="n">
        <x:v>1.1</x:v>
      </x:c>
      <x:c r="F165" s="189" t="n">
        <x:f>MAX(MIN('詳細設定'!$D$15+-0.05,1),0)</x:f>
        <x:v>0.35000000000000003</x:v>
      </x:c>
      <x:c r="G165" s="563" t="n">
        <x:f>'_計算月次'!$J$9</x:f>
        <x:v>552.2367574934775</x:v>
      </x:c>
      <x:c r="H165" s="563" t="n">
        <x:f>'_計算月次'!$K$9</x:f>
        <x:v>315.00000000000006</x:v>
      </x:c>
      <x:c r="I165" s="563" t="n">
        <x:f>(1-MAX(MIN('詳細設定'!$D$16,0.999999),0))^(B165-1)</x:f>
        <x:v>1</x:v>
      </x:c>
      <x:c r="J165" s="563" t="n">
        <x:f>MAX(G165*D165*I165,0)</x:f>
        <x:v>497.01308174412975</x:v>
      </x:c>
      <x:c r="K165" s="563" t="n">
        <x:f>MAX(MIN(J165*F165,H165),0)</x:f>
        <x:v>173.95457861044542</x:v>
      </x:c>
      <x:c r="L165" s="563" t="n">
        <x:f>MAX(J165-K165,0)</x:f>
        <x:v>323.0585031336843</x:v>
      </x:c>
      <x:c r="M165" s="185" t="n">
        <x:f>MAX('詳細設定'!$D$6,0)*(1+'詳細設定'!$D$21)^(B165-1)</x:f>
        <x:v>39.83326481516513</x:v>
      </x:c>
      <x:c r="N165" s="185" t="n">
        <x:f>IF(B165&lt;=MAX(MIN('詳細設定'!$D$8,20),0),MAX('詳細設定'!$D$7,0),IF(B165&lt;=MAX(MIN('詳細設定'!$D$10,20),0),MAX('詳細設定'!$D$9,0),MAX('詳細設定'!$D$11,0)))</x:f>
        <x:v>8.3</x:v>
      </x:c>
      <x:c r="O165" s="190" t="n">
        <x:f>K165*M165</x:f>
        <x:v>6929.178795600333</x:v>
      </x:c>
      <x:c r="P165" s="190" t="n">
        <x:f>L165*N165</x:f>
        <x:v>2681.3855760095803</x:v>
      </x:c>
      <x:c r="Q165" s="190" t="n">
        <x:f>O165+P165</x:f>
        <x:v>9610.564371609913</x:v>
      </x:c>
      <x:c r="R165" s="196" t="n">
        <x:f>J165-K165-L165</x:f>
        <x:v>0</x:v>
      </x:c>
    </x:row>
    <x:row r="166">
      <x:c r="A166" s="20" t="str">
        <x:v>慎重</x:v>
      </x:c>
      <x:c r="B166" s="20" t="n">
        <x:v>14</x:v>
      </x:c>
      <x:c r="C166" s="20" t="n">
        <x:v>6</x:v>
      </x:c>
      <x:c r="D166" s="189" t="n">
        <x:v>0.9</x:v>
      </x:c>
      <x:c r="E166" s="189" t="n">
        <x:v>1.1</x:v>
      </x:c>
      <x:c r="F166" s="189" t="n">
        <x:f>MAX(MIN('詳細設定'!$D$15+-0.05,1),0)</x:f>
        <x:v>0.35000000000000003</x:v>
      </x:c>
      <x:c r="G166" s="563" t="n">
        <x:f>'_計算月次'!$J$10</x:f>
        <x:v>448.7994857612148</x:v>
      </x:c>
      <x:c r="H166" s="563" t="n">
        <x:f>'_計算月次'!$K$10</x:f>
        <x:v>360</x:v>
      </x:c>
      <x:c r="I166" s="563" t="n">
        <x:f>(1-MAX(MIN('詳細設定'!$D$16,0.999999),0))^(B166-1)</x:f>
        <x:v>1</x:v>
      </x:c>
      <x:c r="J166" s="563" t="n">
        <x:f>MAX(G166*D166*I166,0)</x:f>
        <x:v>403.9195371850933</x:v>
      </x:c>
      <x:c r="K166" s="563" t="n">
        <x:f>MAX(MIN(J166*F166,H166),0)</x:f>
        <x:v>141.37183801478267</x:v>
      </x:c>
      <x:c r="L166" s="563" t="n">
        <x:f>MAX(J166-K166,0)</x:f>
        <x:v>262.54769917031064</x:v>
      </x:c>
      <x:c r="M166" s="185" t="n">
        <x:f>MAX('詳細設定'!$D$6,0)*(1+'詳細設定'!$D$21)^(B166-1)</x:f>
        <x:v>39.83326481516513</x:v>
      </x:c>
      <x:c r="N166" s="185" t="n">
        <x:f>IF(B166&lt;=MAX(MIN('詳細設定'!$D$8,20),0),MAX('詳細設定'!$D$7,0),IF(B166&lt;=MAX(MIN('詳細設定'!$D$10,20),0),MAX('詳細設定'!$D$9,0),MAX('詳細設定'!$D$11,0)))</x:f>
        <x:v>8.3</x:v>
      </x:c>
      <x:c r="O166" s="190" t="n">
        <x:f>K166*M166</x:f>
        <x:v>5631.301861049466</x:v>
      </x:c>
      <x:c r="P166" s="190" t="n">
        <x:f>L166*N166</x:f>
        <x:v>2179.1459031135782</x:v>
      </x:c>
      <x:c r="Q166" s="190" t="n">
        <x:f>O166+P166</x:f>
        <x:v>7810.447764163045</x:v>
      </x:c>
      <x:c r="R166" s="196" t="n">
        <x:f>J166-K166-L166</x:f>
        <x:v>0</x:v>
      </x:c>
    </x:row>
    <x:row r="167">
      <x:c r="A167" s="20" t="str">
        <x:v>慎重</x:v>
      </x:c>
      <x:c r="B167" s="20" t="n">
        <x:v>14</x:v>
      </x:c>
      <x:c r="C167" s="20" t="n">
        <x:v>7</x:v>
      </x:c>
      <x:c r="D167" s="189" t="n">
        <x:v>0.9</x:v>
      </x:c>
      <x:c r="E167" s="189" t="n">
        <x:v>1.1</x:v>
      </x:c>
      <x:c r="F167" s="189" t="n">
        <x:f>MAX(MIN('詳細設定'!$D$15+-0.05,1),0)</x:f>
        <x:v>0.35000000000000003</x:v>
      </x:c>
      <x:c r="G167" s="563" t="n">
        <x:f>'_計算月次'!$J$11</x:f>
        <x:v>476.0181638067866</x:v>
      </x:c>
      <x:c r="H167" s="563" t="n">
        <x:f>'_計算月次'!$K$11</x:f>
        <x:v>405</x:v>
      </x:c>
      <x:c r="I167" s="563" t="n">
        <x:f>(1-MAX(MIN('詳細設定'!$D$16,0.999999),0))^(B167-1)</x:f>
        <x:v>1</x:v>
      </x:c>
      <x:c r="J167" s="563" t="n">
        <x:f>MAX(G167*D167*I167,0)</x:f>
        <x:v>428.41634742610796</x:v>
      </x:c>
      <x:c r="K167" s="563" t="n">
        <x:f>MAX(MIN(J167*F167,H167),0)</x:f>
        <x:v>149.9457215991378</x:v>
      </x:c>
      <x:c r="L167" s="563" t="n">
        <x:f>MAX(J167-K167,0)</x:f>
        <x:v>278.47062582697015</x:v>
      </x:c>
      <x:c r="M167" s="185" t="n">
        <x:f>MAX('詳細設定'!$D$6,0)*(1+'詳細設定'!$D$21)^(B167-1)</x:f>
        <x:v>39.83326481516513</x:v>
      </x:c>
      <x:c r="N167" s="185" t="n">
        <x:f>IF(B167&lt;=MAX(MIN('詳細設定'!$D$8,20),0),MAX('詳細設定'!$D$7,0),IF(B167&lt;=MAX(MIN('詳細設定'!$D$10,20),0),MAX('詳細設定'!$D$9,0),MAX('詳細設定'!$D$11,0)))</x:f>
        <x:v>8.3</x:v>
      </x:c>
      <x:c r="O167" s="190" t="n">
        <x:f>K167*M167</x:f>
        <x:v>5972.827636359482</x:v>
      </x:c>
      <x:c r="P167" s="190" t="n">
        <x:f>L167*N167</x:f>
        <x:v>2311.3061943638522</x:v>
      </x:c>
      <x:c r="Q167" s="190" t="n">
        <x:f>O167+P167</x:f>
        <x:v>8284.133830723335</x:v>
      </x:c>
      <x:c r="R167" s="196" t="n">
        <x:f>J167-K167-L167</x:f>
        <x:v>0</x:v>
      </x:c>
    </x:row>
    <x:row r="168">
      <x:c r="A168" s="20" t="str">
        <x:v>慎重</x:v>
      </x:c>
      <x:c r="B168" s="20" t="n">
        <x:v>14</x:v>
      </x:c>
      <x:c r="C168" s="20" t="n">
        <x:v>8</x:v>
      </x:c>
      <x:c r="D168" s="189" t="n">
        <x:v>0.9</x:v>
      </x:c>
      <x:c r="E168" s="189" t="n">
        <x:v>1.1</x:v>
      </x:c>
      <x:c r="F168" s="189" t="n">
        <x:f>MAX(MIN('詳細設定'!$D$15+-0.05,1),0)</x:f>
        <x:v>0.35000000000000003</x:v>
      </x:c>
      <x:c r="G168" s="563" t="n">
        <x:f>'_計算月次'!$J$12</x:f>
        <x:v>528.6548067323699</x:v>
      </x:c>
      <x:c r="H168" s="563" t="n">
        <x:f>'_計算月次'!$K$12</x:f>
        <x:v>450</x:v>
      </x:c>
      <x:c r="I168" s="563" t="n">
        <x:f>(1-MAX(MIN('詳細設定'!$D$16,0.999999),0))^(B168-1)</x:f>
        <x:v>1</x:v>
      </x:c>
      <x:c r="J168" s="563" t="n">
        <x:f>MAX(G168*D168*I168,0)</x:f>
        <x:v>475.789326059133</x:v>
      </x:c>
      <x:c r="K168" s="563" t="n">
        <x:f>MAX(MIN(J168*F168,H168),0)</x:f>
        <x:v>166.52626412069657</x:v>
      </x:c>
      <x:c r="L168" s="563" t="n">
        <x:f>MAX(J168-K168,0)</x:f>
        <x:v>309.2630619384364</x:v>
      </x:c>
      <x:c r="M168" s="185" t="n">
        <x:f>MAX('詳細設定'!$D$6,0)*(1+'詳細設定'!$D$21)^(B168-1)</x:f>
        <x:v>39.83326481516513</x:v>
      </x:c>
      <x:c r="N168" s="185" t="n">
        <x:f>IF(B168&lt;=MAX(MIN('詳細設定'!$D$8,20),0),MAX('詳細設定'!$D$7,0),IF(B168&lt;=MAX(MIN('詳細設定'!$D$10,20),0),MAX('詳細設定'!$D$9,0),MAX('詳細設定'!$D$11,0)))</x:f>
        <x:v>8.3</x:v>
      </x:c>
      <x:c r="O168" s="190" t="n">
        <x:f>K168*M168</x:f>
        <x:v>6633.284777399838</x:v>
      </x:c>
      <x:c r="P168" s="190" t="n">
        <x:f>L168*N168</x:f>
        <x:v>2566.8834140890226</x:v>
      </x:c>
      <x:c r="Q168" s="190" t="n">
        <x:f>O168+P168</x:f>
        <x:v>9200.168191488861</x:v>
      </x:c>
      <x:c r="R168" s="196" t="n">
        <x:f>J168-K168-L168</x:f>
        <x:v>0</x:v>
      </x:c>
    </x:row>
    <x:row r="169">
      <x:c r="A169" s="20" t="str">
        <x:v>慎重</x:v>
      </x:c>
      <x:c r="B169" s="20" t="n">
        <x:v>14</x:v>
      </x:c>
      <x:c r="C169" s="20" t="n">
        <x:v>9</x:v>
      </x:c>
      <x:c r="D169" s="189" t="n">
        <x:v>0.9</x:v>
      </x:c>
      <x:c r="E169" s="189" t="n">
        <x:v>1.1</x:v>
      </x:c>
      <x:c r="F169" s="189" t="n">
        <x:f>MAX(MIN('詳細設定'!$D$15+-0.05,1),0)</x:f>
        <x:v>0.35000000000000003</x:v>
      </x:c>
      <x:c r="G169" s="563" t="n">
        <x:f>'_計算月次'!$J$13</x:f>
        <x:v>436.37734765103465</x:v>
      </x:c>
      <x:c r="H169" s="563" t="n">
        <x:f>'_計算月次'!$K$13</x:f>
        <x:v>360</x:v>
      </x:c>
      <x:c r="I169" s="563" t="n">
        <x:f>(1-MAX(MIN('詳細設定'!$D$16,0.999999),0))^(B169-1)</x:f>
        <x:v>1</x:v>
      </x:c>
      <x:c r="J169" s="563" t="n">
        <x:f>MAX(G169*D169*I169,0)</x:f>
        <x:v>392.7396128859312</x:v>
      </x:c>
      <x:c r="K169" s="563" t="n">
        <x:f>MAX(MIN(J169*F169,H169),0)</x:f>
        <x:v>137.45886451007593</x:v>
      </x:c>
      <x:c r="L169" s="563" t="n">
        <x:f>MAX(J169-K169,0)</x:f>
        <x:v>255.28074837585527</x:v>
      </x:c>
      <x:c r="M169" s="185" t="n">
        <x:f>MAX('詳細設定'!$D$6,0)*(1+'詳細設定'!$D$21)^(B169-1)</x:f>
        <x:v>39.83326481516513</x:v>
      </x:c>
      <x:c r="N169" s="185" t="n">
        <x:f>IF(B169&lt;=MAX(MIN('詳細設定'!$D$8,20),0),MAX('詳細設定'!$D$7,0),IF(B169&lt;=MAX(MIN('詳細設定'!$D$10,20),0),MAX('詳細設定'!$D$9,0),MAX('詳細設定'!$D$11,0)))</x:f>
        <x:v>8.3</x:v>
      </x:c>
      <x:c r="O169" s="190" t="n">
        <x:f>K169*M169</x:f>
        <x:v>5475.4353512217585</x:v>
      </x:c>
      <x:c r="P169" s="190" t="n">
        <x:f>L169*N169</x:f>
        <x:v>2118.830211519599</x:v>
      </x:c>
      <x:c r="Q169" s="190" t="n">
        <x:f>O169+P169</x:f>
        <x:v>7594.265562741357</x:v>
      </x:c>
      <x:c r="R169" s="196" t="n">
        <x:f>J169-K169-L169</x:f>
        <x:v>0</x:v>
      </x:c>
    </x:row>
    <x:row r="170">
      <x:c r="A170" s="20" t="str">
        <x:v>慎重</x:v>
      </x:c>
      <x:c r="B170" s="20" t="n">
        <x:v>14</x:v>
      </x:c>
      <x:c r="C170" s="20" t="n">
        <x:v>10</x:v>
      </x:c>
      <x:c r="D170" s="189" t="n">
        <x:v>0.9</x:v>
      </x:c>
      <x:c r="E170" s="189" t="n">
        <x:v>1.1</x:v>
      </x:c>
      <x:c r="F170" s="189" t="n">
        <x:f>MAX(MIN('詳細設定'!$D$15+-0.05,1),0)</x:f>
        <x:v>0.35000000000000003</x:v>
      </x:c>
      <x:c r="G170" s="563" t="n">
        <x:f>'_計算月次'!$J$14</x:f>
        <x:v>408.8269849869007</x:v>
      </x:c>
      <x:c r="H170" s="563" t="n">
        <x:f>'_計算月次'!$K$14</x:f>
        <x:v>315.00000000000006</x:v>
      </x:c>
      <x:c r="I170" s="563" t="n">
        <x:f>(1-MAX(MIN('詳細設定'!$D$16,0.999999),0))^(B170-1)</x:f>
        <x:v>1</x:v>
      </x:c>
      <x:c r="J170" s="563" t="n">
        <x:f>MAX(G170*D170*I170,0)</x:f>
        <x:v>367.94428648821065</x:v>
      </x:c>
      <x:c r="K170" s="563" t="n">
        <x:f>MAX(MIN(J170*F170,H170),0)</x:f>
        <x:v>128.78050027087374</x:v>
      </x:c>
      <x:c r="L170" s="563" t="n">
        <x:f>MAX(J170-K170,0)</x:f>
        <x:v>239.1637862173369</x:v>
      </x:c>
      <x:c r="M170" s="185" t="n">
        <x:f>MAX('詳細設定'!$D$6,0)*(1+'詳細設定'!$D$21)^(B170-1)</x:f>
        <x:v>39.83326481516513</x:v>
      </x:c>
      <x:c r="N170" s="185" t="n">
        <x:f>IF(B170&lt;=MAX(MIN('詳細設定'!$D$8,20),0),MAX('詳細設定'!$D$7,0),IF(B170&lt;=MAX(MIN('詳細設定'!$D$10,20),0),MAX('詳細設定'!$D$9,0),MAX('詳細設定'!$D$11,0)))</x:f>
        <x:v>8.3</x:v>
      </x:c>
      <x:c r="O170" s="190" t="n">
        <x:f>K170*M170</x:f>
        <x:v>5129.747770319159</x:v>
      </x:c>
      <x:c r="P170" s="190" t="n">
        <x:f>L170*N170</x:f>
        <x:v>1985.0594256038964</x:v>
      </x:c>
      <x:c r="Q170" s="190" t="n">
        <x:f>O170+P170</x:f>
        <x:v>7114.807195923056</x:v>
      </x:c>
      <x:c r="R170" s="196" t="n">
        <x:f>J170-K170-L170</x:f>
        <x:v>0</x:v>
      </x:c>
    </x:row>
    <x:row r="171">
      <x:c r="A171" s="20" t="str">
        <x:v>慎重</x:v>
      </x:c>
      <x:c r="B171" s="20" t="n">
        <x:v>14</x:v>
      </x:c>
      <x:c r="C171" s="20" t="n">
        <x:v>11</x:v>
      </x:c>
      <x:c r="D171" s="189" t="n">
        <x:v>0.9</x:v>
      </x:c>
      <x:c r="E171" s="189" t="n">
        <x:v>1.1</x:v>
      </x:c>
      <x:c r="F171" s="189" t="n">
        <x:f>MAX(MIN('詳細設定'!$D$15+-0.05,1),0)</x:f>
        <x:v>0.35000000000000003</x:v>
      </x:c>
      <x:c r="G171" s="563" t="n">
        <x:f>'_計算月次'!$J$15</x:f>
        <x:v>398.45169764745054</x:v>
      </x:c>
      <x:c r="H171" s="563" t="n">
        <x:f>'_計算月次'!$K$15</x:f>
        <x:v>360</x:v>
      </x:c>
      <x:c r="I171" s="563" t="n">
        <x:f>(1-MAX(MIN('詳細設定'!$D$16,0.999999),0))^(B171-1)</x:f>
        <x:v>1</x:v>
      </x:c>
      <x:c r="J171" s="563" t="n">
        <x:f>MAX(G171*D171*I171,0)</x:f>
        <x:v>358.6065278827055</x:v>
      </x:c>
      <x:c r="K171" s="563" t="n">
        <x:f>MAX(MIN(J171*F171,H171),0)</x:f>
        <x:v>125.51228475894693</x:v>
      </x:c>
      <x:c r="L171" s="563" t="n">
        <x:f>MAX(J171-K171,0)</x:f>
        <x:v>233.0942431237586</x:v>
      </x:c>
      <x:c r="M171" s="185" t="n">
        <x:f>MAX('詳細設定'!$D$6,0)*(1+'詳細設定'!$D$21)^(B171-1)</x:f>
        <x:v>39.83326481516513</x:v>
      </x:c>
      <x:c r="N171" s="185" t="n">
        <x:f>IF(B171&lt;=MAX(MIN('詳細設定'!$D$8,20),0),MAX('詳細設定'!$D$7,0),IF(B171&lt;=MAX(MIN('詳細設定'!$D$10,20),0),MAX('詳細設定'!$D$9,0),MAX('詳細設定'!$D$11,0)))</x:f>
        <x:v>8.3</x:v>
      </x:c>
      <x:c r="O171" s="190" t="n">
        <x:f>K171*M171</x:f>
        <x:v>4999.5640763595475</x:v>
      </x:c>
      <x:c r="P171" s="190" t="n">
        <x:f>L171*N171</x:f>
        <x:v>1934.6822179271965</x:v>
      </x:c>
      <x:c r="Q171" s="190" t="n">
        <x:f>O171+P171</x:f>
        <x:v>6934.246294286744</x:v>
      </x:c>
      <x:c r="R171" s="196" t="n">
        <x:f>J171-K171-L171</x:f>
        <x:v>0</x:v>
      </x:c>
    </x:row>
    <x:row r="172">
      <x:c r="A172" s="20" t="str">
        <x:v>慎重</x:v>
      </x:c>
      <x:c r="B172" s="20" t="n">
        <x:v>14</x:v>
      </x:c>
      <x:c r="C172" s="20" t="n">
        <x:v>12</x:v>
      </x:c>
      <x:c r="D172" s="189" t="n">
        <x:v>0.9</x:v>
      </x:c>
      <x:c r="E172" s="189" t="n">
        <x:v>1.1</x:v>
      </x:c>
      <x:c r="F172" s="189" t="n">
        <x:f>MAX(MIN('詳細設定'!$D$15+-0.05,1),0)</x:f>
        <x:v>0.35000000000000003</x:v>
      </x:c>
      <x:c r="G172" s="563" t="n">
        <x:f>'_計算月次'!$J$16</x:f>
        <x:v>443.97248688000184</x:v>
      </x:c>
      <x:c r="H172" s="563" t="n">
        <x:f>'_計算月次'!$K$16</x:f>
        <x:v>405</x:v>
      </x:c>
      <x:c r="I172" s="563" t="n">
        <x:f>(1-MAX(MIN('詳細設定'!$D$16,0.999999),0))^(B172-1)</x:f>
        <x:v>1</x:v>
      </x:c>
      <x:c r="J172" s="563" t="n">
        <x:f>MAX(G172*D172*I172,0)</x:f>
        <x:v>399.5752381920017</x:v>
      </x:c>
      <x:c r="K172" s="563" t="n">
        <x:f>MAX(MIN(J172*F172,H172),0)</x:f>
        <x:v>139.8513333672006</x:v>
      </x:c>
      <x:c r="L172" s="563" t="n">
        <x:f>MAX(J172-K172,0)</x:f>
        <x:v>259.7239048248011</x:v>
      </x:c>
      <x:c r="M172" s="185" t="n">
        <x:f>MAX('詳細設定'!$D$6,0)*(1+'詳細設定'!$D$21)^(B172-1)</x:f>
        <x:v>39.83326481516513</x:v>
      </x:c>
      <x:c r="N172" s="185" t="n">
        <x:f>IF(B172&lt;=MAX(MIN('詳細設定'!$D$8,20),0),MAX('詳細設定'!$D$7,0),IF(B172&lt;=MAX(MIN('詳細設定'!$D$10,20),0),MAX('詳細設定'!$D$9,0),MAX('詳細設定'!$D$11,0)))</x:f>
        <x:v>8.3</x:v>
      </x:c>
      <x:c r="O172" s="190" t="n">
        <x:f>K172*M172</x:f>
        <x:v>5570.73519676964</x:v>
      </x:c>
      <x:c r="P172" s="190" t="n">
        <x:f>L172*N172</x:f>
        <x:v>2155.708410045849</x:v>
      </x:c>
      <x:c r="Q172" s="190" t="n">
        <x:f>O172+P172</x:f>
        <x:v>7726.44360681549</x:v>
      </x:c>
      <x:c r="R172" s="196" t="n">
        <x:f>J172-K172-L172</x:f>
        <x:v>0</x:v>
      </x:c>
    </x:row>
    <x:row r="173">
      <x:c r="A173" s="20" t="str">
        <x:v>慎重</x:v>
      </x:c>
      <x:c r="B173" s="20" t="n">
        <x:v>15</x:v>
      </x:c>
      <x:c r="C173" s="20" t="n">
        <x:v>1</x:v>
      </x:c>
      <x:c r="D173" s="189" t="n">
        <x:v>0.9</x:v>
      </x:c>
      <x:c r="E173" s="189" t="n">
        <x:v>1.1</x:v>
      </x:c>
      <x:c r="F173" s="189" t="n">
        <x:f>MAX(MIN('詳細設定'!$D$15+-0.05,1),0)</x:f>
        <x:v>0.35000000000000003</x:v>
      </x:c>
      <x:c r="G173" s="563" t="n">
        <x:f>'_計算月次'!$J$5</x:f>
        <x:v>502.4147595742038</x:v>
      </x:c>
      <x:c r="H173" s="563" t="n">
        <x:f>'_計算月次'!$K$5</x:f>
        <x:v>450</x:v>
      </x:c>
      <x:c r="I173" s="563" t="n">
        <x:f>(1-MAX(MIN('詳細設定'!$D$16,0.999999),0))^(B173-1)</x:f>
        <x:v>1</x:v>
      </x:c>
      <x:c r="J173" s="563" t="n">
        <x:f>MAX(G173*D173*I173,0)</x:f>
        <x:v>452.1732836167834</x:v>
      </x:c>
      <x:c r="K173" s="563" t="n">
        <x:f>MAX(MIN(J173*F173,H173),0)</x:f>
        <x:v>158.2606492658742</x:v>
      </x:c>
      <x:c r="L173" s="563" t="n">
        <x:f>MAX(J173-K173,0)</x:f>
        <x:v>293.91263435090923</x:v>
      </x:c>
      <x:c r="M173" s="185" t="n">
        <x:f>MAX('詳細設定'!$D$6,0)*(1+'詳細設定'!$D$21)^(B173-1)</x:f>
        <x:v>40.23159746331679</x:v>
      </x:c>
      <x:c r="N173" s="185" t="n">
        <x:f>IF(B173&lt;=MAX(MIN('詳細設定'!$D$8,20),0),MAX('詳細設定'!$D$7,0),IF(B173&lt;=MAX(MIN('詳細設定'!$D$10,20),0),MAX('詳細設定'!$D$9,0),MAX('詳細設定'!$D$11,0)))</x:f>
        <x:v>8.3</x:v>
      </x:c>
      <x:c r="O173" s="190" t="n">
        <x:f>K173*M173</x:f>
        <x:v>6367.078735547812</x:v>
      </x:c>
      <x:c r="P173" s="190" t="n">
        <x:f>L173*N173</x:f>
        <x:v>2439.474865112547</x:v>
      </x:c>
      <x:c r="Q173" s="190" t="n">
        <x:f>O173+P173</x:f>
        <x:v>8806.55360066036</x:v>
      </x:c>
      <x:c r="R173" s="196" t="n">
        <x:f>J173-K173-L173</x:f>
        <x:v>0</x:v>
      </x:c>
    </x:row>
    <x:row r="174">
      <x:c r="A174" s="20" t="str">
        <x:v>慎重</x:v>
      </x:c>
      <x:c r="B174" s="20" t="n">
        <x:v>15</x:v>
      </x:c>
      <x:c r="C174" s="20" t="n">
        <x:v>2</x:v>
      </x:c>
      <x:c r="D174" s="189" t="n">
        <x:v>0.9</x:v>
      </x:c>
      <x:c r="E174" s="189" t="n">
        <x:v>1.1</x:v>
      </x:c>
      <x:c r="F174" s="189" t="n">
        <x:f>MAX(MIN('詳細設定'!$D$15+-0.05,1),0)</x:f>
        <x:v>0.35000000000000003</x:v>
      </x:c>
      <x:c r="G174" s="563" t="n">
        <x:f>'_計算月次'!$J$6</x:f>
        <x:v>472.4508339500229</x:v>
      </x:c>
      <x:c r="H174" s="563" t="n">
        <x:f>'_計算月次'!$K$6</x:f>
        <x:v>405</x:v>
      </x:c>
      <x:c r="I174" s="563" t="n">
        <x:f>(1-MAX(MIN('詳細設定'!$D$16,0.999999),0))^(B174-1)</x:f>
        <x:v>1</x:v>
      </x:c>
      <x:c r="J174" s="563" t="n">
        <x:f>MAX(G174*D174*I174,0)</x:f>
        <x:v>425.20575055502064</x:v>
      </x:c>
      <x:c r="K174" s="563" t="n">
        <x:f>MAX(MIN(J174*F174,H174),0)</x:f>
        <x:v>148.82201269425724</x:v>
      </x:c>
      <x:c r="L174" s="563" t="n">
        <x:f>MAX(J174-K174,0)</x:f>
        <x:v>276.3837378607634</x:v>
      </x:c>
      <x:c r="M174" s="185" t="n">
        <x:f>MAX('詳細設定'!$D$6,0)*(1+'詳細設定'!$D$21)^(B174-1)</x:f>
        <x:v>40.23159746331679</x:v>
      </x:c>
      <x:c r="N174" s="185" t="n">
        <x:f>IF(B174&lt;=MAX(MIN('詳細設定'!$D$8,20),0),MAX('詳細設定'!$D$7,0),IF(B174&lt;=MAX(MIN('詳細設定'!$D$10,20),0),MAX('詳細設定'!$D$9,0),MAX('詳細設定'!$D$11,0)))</x:f>
        <x:v>8.3</x:v>
      </x:c>
      <x:c r="O174" s="190" t="n">
        <x:f>K174*M174</x:f>
        <x:v>5987.347308395978</x:v>
      </x:c>
      <x:c r="P174" s="190" t="n">
        <x:f>L174*N174</x:f>
        <x:v>2293.9850242443363</x:v>
      </x:c>
      <x:c r="Q174" s="190" t="n">
        <x:f>O174+P174</x:f>
        <x:v>8281.332332640315</x:v>
      </x:c>
      <x:c r="R174" s="196" t="n">
        <x:f>J174-K174-L174</x:f>
        <x:v>0</x:v>
      </x:c>
    </x:row>
    <x:row r="175">
      <x:c r="A175" s="20" t="str">
        <x:v>慎重</x:v>
      </x:c>
      <x:c r="B175" s="20" t="n">
        <x:v>15</x:v>
      </x:c>
      <x:c r="C175" s="20" t="n">
        <x:v>3</x:v>
      </x:c>
      <x:c r="D175" s="189" t="n">
        <x:v>0.9</x:v>
      </x:c>
      <x:c r="E175" s="189" t="n">
        <x:v>1.1</x:v>
      </x:c>
      <x:c r="F175" s="189" t="n">
        <x:f>MAX(MIN('詳細設定'!$D$15+-0.05,1),0)</x:f>
        <x:v>0.35000000000000003</x:v>
      </x:c>
      <x:c r="G175" s="563" t="n">
        <x:f>'_計算月次'!$J$7</x:f>
        <x:v>548.3418864753118</x:v>
      </x:c>
      <x:c r="H175" s="563" t="n">
        <x:f>'_計算月次'!$K$7</x:f>
        <x:v>360</x:v>
      </x:c>
      <x:c r="I175" s="563" t="n">
        <x:f>(1-MAX(MIN('詳細設定'!$D$16,0.999999),0))^(B175-1)</x:f>
        <x:v>1</x:v>
      </x:c>
      <x:c r="J175" s="563" t="n">
        <x:f>MAX(G175*D175*I175,0)</x:f>
        <x:v>493.5076978277806</x:v>
      </x:c>
      <x:c r="K175" s="563" t="n">
        <x:f>MAX(MIN(J175*F175,H175),0)</x:f>
        <x:v>172.72769423972323</x:v>
      </x:c>
      <x:c r="L175" s="563" t="n">
        <x:f>MAX(J175-K175,0)</x:f>
        <x:v>320.78000358805735</x:v>
      </x:c>
      <x:c r="M175" s="185" t="n">
        <x:f>MAX('詳細設定'!$D$6,0)*(1+'詳細設定'!$D$21)^(B175-1)</x:f>
        <x:v>40.23159746331679</x:v>
      </x:c>
      <x:c r="N175" s="185" t="n">
        <x:f>IF(B175&lt;=MAX(MIN('詳細設定'!$D$8,20),0),MAX('詳細設定'!$D$7,0),IF(B175&lt;=MAX(MIN('詳細設定'!$D$10,20),0),MAX('詳細設定'!$D$9,0),MAX('詳細設定'!$D$11,0)))</x:f>
        <x:v>8.3</x:v>
      </x:c>
      <x:c r="O175" s="190" t="n">
        <x:f>K175*M175</x:f>
        <x:v>6949.111065419407</x:v>
      </x:c>
      <x:c r="P175" s="190" t="n">
        <x:f>L175*N175</x:f>
        <x:v>2662.474029780876</x:v>
      </x:c>
      <x:c r="Q175" s="190" t="n">
        <x:f>O175+P175</x:f>
        <x:v>9611.585095200284</x:v>
      </x:c>
      <x:c r="R175" s="196" t="n">
        <x:f>J175-K175-L175</x:f>
        <x:v>0</x:v>
      </x:c>
    </x:row>
    <x:row r="176">
      <x:c r="A176" s="20" t="str">
        <x:v>慎重</x:v>
      </x:c>
      <x:c r="B176" s="20" t="n">
        <x:v>15</x:v>
      </x:c>
      <x:c r="C176" s="20" t="n">
        <x:v>4</x:v>
      </x:c>
      <x:c r="D176" s="189" t="n">
        <x:v>0.9</x:v>
      </x:c>
      <x:c r="E176" s="189" t="n">
        <x:v>1.1</x:v>
      </x:c>
      <x:c r="F176" s="189" t="n">
        <x:f>MAX(MIN('詳細設定'!$D$15+-0.05,1),0)</x:f>
        <x:v>0.35000000000000003</x:v>
      </x:c>
      <x:c r="G176" s="563" t="n">
        <x:f>'_計算月次'!$J$8</x:f>
        <x:v>548.3944393749554</x:v>
      </x:c>
      <x:c r="H176" s="563" t="n">
        <x:f>'_計算月次'!$K$8</x:f>
        <x:v>315.00000000000006</x:v>
      </x:c>
      <x:c r="I176" s="563" t="n">
        <x:f>(1-MAX(MIN('詳細設定'!$D$16,0.999999),0))^(B176-1)</x:f>
        <x:v>1</x:v>
      </x:c>
      <x:c r="J176" s="563" t="n">
        <x:f>MAX(G176*D176*I176,0)</x:f>
        <x:v>493.55499543745987</x:v>
      </x:c>
      <x:c r="K176" s="563" t="n">
        <x:f>MAX(MIN(J176*F176,H176),0)</x:f>
        <x:v>172.74424840311096</x:v>
      </x:c>
      <x:c r="L176" s="563" t="n">
        <x:f>MAX(J176-K176,0)</x:f>
        <x:v>320.8107470343489</x:v>
      </x:c>
      <x:c r="M176" s="185" t="n">
        <x:f>MAX('詳細設定'!$D$6,0)*(1+'詳細設定'!$D$21)^(B176-1)</x:f>
        <x:v>40.23159746331679</x:v>
      </x:c>
      <x:c r="N176" s="185" t="n">
        <x:f>IF(B176&lt;=MAX(MIN('詳細設定'!$D$8,20),0),MAX('詳細設定'!$D$7,0),IF(B176&lt;=MAX(MIN('詳細設定'!$D$10,20),0),MAX('詳細設定'!$D$9,0),MAX('詳細設定'!$D$11,0)))</x:f>
        <x:v>8.3</x:v>
      </x:c>
      <x:c r="O176" s="190" t="n">
        <x:f>K176*M176</x:f>
        <x:v>6949.777065857164</x:v>
      </x:c>
      <x:c r="P176" s="190" t="n">
        <x:f>L176*N176</x:f>
        <x:v>2662.7292003850957</x:v>
      </x:c>
      <x:c r="Q176" s="190" t="n">
        <x:f>O176+P176</x:f>
        <x:v>9612.50626624226</x:v>
      </x:c>
      <x:c r="R176" s="196" t="n">
        <x:f>J176-K176-L176</x:f>
        <x:v>0</x:v>
      </x:c>
    </x:row>
    <x:row r="177">
      <x:c r="A177" s="20" t="str">
        <x:v>慎重</x:v>
      </x:c>
      <x:c r="B177" s="20" t="n">
        <x:v>15</x:v>
      </x:c>
      <x:c r="C177" s="20" t="n">
        <x:v>5</x:v>
      </x:c>
      <x:c r="D177" s="189" t="n">
        <x:v>0.9</x:v>
      </x:c>
      <x:c r="E177" s="189" t="n">
        <x:v>1.1</x:v>
      </x:c>
      <x:c r="F177" s="189" t="n">
        <x:f>MAX(MIN('詳細設定'!$D$15+-0.05,1),0)</x:f>
        <x:v>0.35000000000000003</x:v>
      </x:c>
      <x:c r="G177" s="563" t="n">
        <x:f>'_計算月次'!$J$9</x:f>
        <x:v>552.2367574934775</x:v>
      </x:c>
      <x:c r="H177" s="563" t="n">
        <x:f>'_計算月次'!$K$9</x:f>
        <x:v>315.00000000000006</x:v>
      </x:c>
      <x:c r="I177" s="563" t="n">
        <x:f>(1-MAX(MIN('詳細設定'!$D$16,0.999999),0))^(B177-1)</x:f>
        <x:v>1</x:v>
      </x:c>
      <x:c r="J177" s="563" t="n">
        <x:f>MAX(G177*D177*I177,0)</x:f>
        <x:v>497.01308174412975</x:v>
      </x:c>
      <x:c r="K177" s="563" t="n">
        <x:f>MAX(MIN(J177*F177,H177),0)</x:f>
        <x:v>173.95457861044542</x:v>
      </x:c>
      <x:c r="L177" s="563" t="n">
        <x:f>MAX(J177-K177,0)</x:f>
        <x:v>323.0585031336843</x:v>
      </x:c>
      <x:c r="M177" s="185" t="n">
        <x:f>MAX('詳細設定'!$D$6,0)*(1+'詳細設定'!$D$21)^(B177-1)</x:f>
        <x:v>40.23159746331679</x:v>
      </x:c>
      <x:c r="N177" s="185" t="n">
        <x:f>IF(B177&lt;=MAX(MIN('詳細設定'!$D$8,20),0),MAX('詳細設定'!$D$7,0),IF(B177&lt;=MAX(MIN('詳細設定'!$D$10,20),0),MAX('詳細設定'!$D$9,0),MAX('詳細設定'!$D$11,0)))</x:f>
        <x:v>8.3</x:v>
      </x:c>
      <x:c r="O177" s="190" t="n">
        <x:f>K177*M177</x:f>
        <x:v>6998.470583556337</x:v>
      </x:c>
      <x:c r="P177" s="190" t="n">
        <x:f>L177*N177</x:f>
        <x:v>2681.3855760095803</x:v>
      </x:c>
      <x:c r="Q177" s="190" t="n">
        <x:f>O177+P177</x:f>
        <x:v>9679.856159565918</x:v>
      </x:c>
      <x:c r="R177" s="196" t="n">
        <x:f>J177-K177-L177</x:f>
        <x:v>0</x:v>
      </x:c>
    </x:row>
    <x:row r="178">
      <x:c r="A178" s="20" t="str">
        <x:v>慎重</x:v>
      </x:c>
      <x:c r="B178" s="20" t="n">
        <x:v>15</x:v>
      </x:c>
      <x:c r="C178" s="20" t="n">
        <x:v>6</x:v>
      </x:c>
      <x:c r="D178" s="189" t="n">
        <x:v>0.9</x:v>
      </x:c>
      <x:c r="E178" s="189" t="n">
        <x:v>1.1</x:v>
      </x:c>
      <x:c r="F178" s="189" t="n">
        <x:f>MAX(MIN('詳細設定'!$D$15+-0.05,1),0)</x:f>
        <x:v>0.35000000000000003</x:v>
      </x:c>
      <x:c r="G178" s="563" t="n">
        <x:f>'_計算月次'!$J$10</x:f>
        <x:v>448.7994857612148</x:v>
      </x:c>
      <x:c r="H178" s="563" t="n">
        <x:f>'_計算月次'!$K$10</x:f>
        <x:v>360</x:v>
      </x:c>
      <x:c r="I178" s="563" t="n">
        <x:f>(1-MAX(MIN('詳細設定'!$D$16,0.999999),0))^(B178-1)</x:f>
        <x:v>1</x:v>
      </x:c>
      <x:c r="J178" s="563" t="n">
        <x:f>MAX(G178*D178*I178,0)</x:f>
        <x:v>403.9195371850933</x:v>
      </x:c>
      <x:c r="K178" s="563" t="n">
        <x:f>MAX(MIN(J178*F178,H178),0)</x:f>
        <x:v>141.37183801478267</x:v>
      </x:c>
      <x:c r="L178" s="563" t="n">
        <x:f>MAX(J178-K178,0)</x:f>
        <x:v>262.54769917031064</x:v>
      </x:c>
      <x:c r="M178" s="185" t="n">
        <x:f>MAX('詳細設定'!$D$6,0)*(1+'詳細設定'!$D$21)^(B178-1)</x:f>
        <x:v>40.23159746331679</x:v>
      </x:c>
      <x:c r="N178" s="185" t="n">
        <x:f>IF(B178&lt;=MAX(MIN('詳細設定'!$D$8,20),0),MAX('詳細設定'!$D$7,0),IF(B178&lt;=MAX(MIN('詳細設定'!$D$10,20),0),MAX('詳細設定'!$D$9,0),MAX('詳細設定'!$D$11,0)))</x:f>
        <x:v>8.3</x:v>
      </x:c>
      <x:c r="O178" s="190" t="n">
        <x:f>K178*M178</x:f>
        <x:v>5687.614879659962</x:v>
      </x:c>
      <x:c r="P178" s="190" t="n">
        <x:f>L178*N178</x:f>
        <x:v>2179.1459031135782</x:v>
      </x:c>
      <x:c r="Q178" s="190" t="n">
        <x:f>O178+P178</x:f>
        <x:v>7866.76078277354</x:v>
      </x:c>
      <x:c r="R178" s="196" t="n">
        <x:f>J178-K178-L178</x:f>
        <x:v>0</x:v>
      </x:c>
    </x:row>
    <x:row r="179">
      <x:c r="A179" s="20" t="str">
        <x:v>慎重</x:v>
      </x:c>
      <x:c r="B179" s="20" t="n">
        <x:v>15</x:v>
      </x:c>
      <x:c r="C179" s="20" t="n">
        <x:v>7</x:v>
      </x:c>
      <x:c r="D179" s="189" t="n">
        <x:v>0.9</x:v>
      </x:c>
      <x:c r="E179" s="189" t="n">
        <x:v>1.1</x:v>
      </x:c>
      <x:c r="F179" s="189" t="n">
        <x:f>MAX(MIN('詳細設定'!$D$15+-0.05,1),0)</x:f>
        <x:v>0.35000000000000003</x:v>
      </x:c>
      <x:c r="G179" s="563" t="n">
        <x:f>'_計算月次'!$J$11</x:f>
        <x:v>476.0181638067866</x:v>
      </x:c>
      <x:c r="H179" s="563" t="n">
        <x:f>'_計算月次'!$K$11</x:f>
        <x:v>405</x:v>
      </x:c>
      <x:c r="I179" s="563" t="n">
        <x:f>(1-MAX(MIN('詳細設定'!$D$16,0.999999),0))^(B179-1)</x:f>
        <x:v>1</x:v>
      </x:c>
      <x:c r="J179" s="563" t="n">
        <x:f>MAX(G179*D179*I179,0)</x:f>
        <x:v>428.41634742610796</x:v>
      </x:c>
      <x:c r="K179" s="563" t="n">
        <x:f>MAX(MIN(J179*F179,H179),0)</x:f>
        <x:v>149.9457215991378</x:v>
      </x:c>
      <x:c r="L179" s="563" t="n">
        <x:f>MAX(J179-K179,0)</x:f>
        <x:v>278.47062582697015</x:v>
      </x:c>
      <x:c r="M179" s="185" t="n">
        <x:f>MAX('詳細設定'!$D$6,0)*(1+'詳細設定'!$D$21)^(B179-1)</x:f>
        <x:v>40.23159746331679</x:v>
      </x:c>
      <x:c r="N179" s="185" t="n">
        <x:f>IF(B179&lt;=MAX(MIN('詳細設定'!$D$8,20),0),MAX('詳細設定'!$D$7,0),IF(B179&lt;=MAX(MIN('詳細設定'!$D$10,20),0),MAX('詳細設定'!$D$9,0),MAX('詳細設定'!$D$11,0)))</x:f>
        <x:v>8.3</x:v>
      </x:c>
      <x:c r="O179" s="190" t="n">
        <x:f>K179*M179</x:f>
        <x:v>6032.555912723078</x:v>
      </x:c>
      <x:c r="P179" s="190" t="n">
        <x:f>L179*N179</x:f>
        <x:v>2311.3061943638522</x:v>
      </x:c>
      <x:c r="Q179" s="190" t="n">
        <x:f>O179+P179</x:f>
        <x:v>8343.86210708693</x:v>
      </x:c>
      <x:c r="R179" s="196" t="n">
        <x:f>J179-K179-L179</x:f>
        <x:v>0</x:v>
      </x:c>
    </x:row>
    <x:row r="180">
      <x:c r="A180" s="20" t="str">
        <x:v>慎重</x:v>
      </x:c>
      <x:c r="B180" s="20" t="n">
        <x:v>15</x:v>
      </x:c>
      <x:c r="C180" s="20" t="n">
        <x:v>8</x:v>
      </x:c>
      <x:c r="D180" s="189" t="n">
        <x:v>0.9</x:v>
      </x:c>
      <x:c r="E180" s="189" t="n">
        <x:v>1.1</x:v>
      </x:c>
      <x:c r="F180" s="189" t="n">
        <x:f>MAX(MIN('詳細設定'!$D$15+-0.05,1),0)</x:f>
        <x:v>0.35000000000000003</x:v>
      </x:c>
      <x:c r="G180" s="563" t="n">
        <x:f>'_計算月次'!$J$12</x:f>
        <x:v>528.6548067323699</x:v>
      </x:c>
      <x:c r="H180" s="563" t="n">
        <x:f>'_計算月次'!$K$12</x:f>
        <x:v>450</x:v>
      </x:c>
      <x:c r="I180" s="563" t="n">
        <x:f>(1-MAX(MIN('詳細設定'!$D$16,0.999999),0))^(B180-1)</x:f>
        <x:v>1</x:v>
      </x:c>
      <x:c r="J180" s="563" t="n">
        <x:f>MAX(G180*D180*I180,0)</x:f>
        <x:v>475.789326059133</x:v>
      </x:c>
      <x:c r="K180" s="563" t="n">
        <x:f>MAX(MIN(J180*F180,H180),0)</x:f>
        <x:v>166.52626412069657</x:v>
      </x:c>
      <x:c r="L180" s="563" t="n">
        <x:f>MAX(J180-K180,0)</x:f>
        <x:v>309.2630619384364</x:v>
      </x:c>
      <x:c r="M180" s="185" t="n">
        <x:f>MAX('詳細設定'!$D$6,0)*(1+'詳細設定'!$D$21)^(B180-1)</x:f>
        <x:v>40.23159746331679</x:v>
      </x:c>
      <x:c r="N180" s="185" t="n">
        <x:f>IF(B180&lt;=MAX(MIN('詳細設定'!$D$8,20),0),MAX('詳細設定'!$D$7,0),IF(B180&lt;=MAX(MIN('詳細設定'!$D$10,20),0),MAX('詳細設定'!$D$9,0),MAX('詳細設定'!$D$11,0)))</x:f>
        <x:v>8.3</x:v>
      </x:c>
      <x:c r="O180" s="190" t="n">
        <x:f>K180*M180</x:f>
        <x:v>6699.617625173838</x:v>
      </x:c>
      <x:c r="P180" s="190" t="n">
        <x:f>L180*N180</x:f>
        <x:v>2566.8834140890226</x:v>
      </x:c>
      <x:c r="Q180" s="190" t="n">
        <x:f>O180+P180</x:f>
        <x:v>9266.501039262861</x:v>
      </x:c>
      <x:c r="R180" s="196" t="n">
        <x:f>J180-K180-L180</x:f>
        <x:v>0</x:v>
      </x:c>
    </x:row>
    <x:row r="181">
      <x:c r="A181" s="20" t="str">
        <x:v>慎重</x:v>
      </x:c>
      <x:c r="B181" s="20" t="n">
        <x:v>15</x:v>
      </x:c>
      <x:c r="C181" s="20" t="n">
        <x:v>9</x:v>
      </x:c>
      <x:c r="D181" s="189" t="n">
        <x:v>0.9</x:v>
      </x:c>
      <x:c r="E181" s="189" t="n">
        <x:v>1.1</x:v>
      </x:c>
      <x:c r="F181" s="189" t="n">
        <x:f>MAX(MIN('詳細設定'!$D$15+-0.05,1),0)</x:f>
        <x:v>0.35000000000000003</x:v>
      </x:c>
      <x:c r="G181" s="563" t="n">
        <x:f>'_計算月次'!$J$13</x:f>
        <x:v>436.37734765103465</x:v>
      </x:c>
      <x:c r="H181" s="563" t="n">
        <x:f>'_計算月次'!$K$13</x:f>
        <x:v>360</x:v>
      </x:c>
      <x:c r="I181" s="563" t="n">
        <x:f>(1-MAX(MIN('詳細設定'!$D$16,0.999999),0))^(B181-1)</x:f>
        <x:v>1</x:v>
      </x:c>
      <x:c r="J181" s="563" t="n">
        <x:f>MAX(G181*D181*I181,0)</x:f>
        <x:v>392.7396128859312</x:v>
      </x:c>
      <x:c r="K181" s="563" t="n">
        <x:f>MAX(MIN(J181*F181,H181),0)</x:f>
        <x:v>137.45886451007593</x:v>
      </x:c>
      <x:c r="L181" s="563" t="n">
        <x:f>MAX(J181-K181,0)</x:f>
        <x:v>255.28074837585527</x:v>
      </x:c>
      <x:c r="M181" s="185" t="n">
        <x:f>MAX('詳細設定'!$D$6,0)*(1+'詳細設定'!$D$21)^(B181-1)</x:f>
        <x:v>40.23159746331679</x:v>
      </x:c>
      <x:c r="N181" s="185" t="n">
        <x:f>IF(B181&lt;=MAX(MIN('詳細設定'!$D$8,20),0),MAX('詳細設定'!$D$7,0),IF(B181&lt;=MAX(MIN('詳細設定'!$D$10,20),0),MAX('詳細設定'!$D$9,0),MAX('詳細設定'!$D$11,0)))</x:f>
        <x:v>8.3</x:v>
      </x:c>
      <x:c r="O181" s="190" t="n">
        <x:f>K181*M181</x:f>
        <x:v>5530.189704733977</x:v>
      </x:c>
      <x:c r="P181" s="190" t="n">
        <x:f>L181*N181</x:f>
        <x:v>2118.830211519599</x:v>
      </x:c>
      <x:c r="Q181" s="190" t="n">
        <x:f>O181+P181</x:f>
        <x:v>7649.0199162535755</x:v>
      </x:c>
      <x:c r="R181" s="196" t="n">
        <x:f>J181-K181-L181</x:f>
        <x:v>0</x:v>
      </x:c>
    </x:row>
    <x:row r="182">
      <x:c r="A182" s="20" t="str">
        <x:v>慎重</x:v>
      </x:c>
      <x:c r="B182" s="20" t="n">
        <x:v>15</x:v>
      </x:c>
      <x:c r="C182" s="20" t="n">
        <x:v>10</x:v>
      </x:c>
      <x:c r="D182" s="189" t="n">
        <x:v>0.9</x:v>
      </x:c>
      <x:c r="E182" s="189" t="n">
        <x:v>1.1</x:v>
      </x:c>
      <x:c r="F182" s="189" t="n">
        <x:f>MAX(MIN('詳細設定'!$D$15+-0.05,1),0)</x:f>
        <x:v>0.35000000000000003</x:v>
      </x:c>
      <x:c r="G182" s="563" t="n">
        <x:f>'_計算月次'!$J$14</x:f>
        <x:v>408.8269849869007</x:v>
      </x:c>
      <x:c r="H182" s="563" t="n">
        <x:f>'_計算月次'!$K$14</x:f>
        <x:v>315.00000000000006</x:v>
      </x:c>
      <x:c r="I182" s="563" t="n">
        <x:f>(1-MAX(MIN('詳細設定'!$D$16,0.999999),0))^(B182-1)</x:f>
        <x:v>1</x:v>
      </x:c>
      <x:c r="J182" s="563" t="n">
        <x:f>MAX(G182*D182*I182,0)</x:f>
        <x:v>367.94428648821065</x:v>
      </x:c>
      <x:c r="K182" s="563" t="n">
        <x:f>MAX(MIN(J182*F182,H182),0)</x:f>
        <x:v>128.78050027087374</x:v>
      </x:c>
      <x:c r="L182" s="563" t="n">
        <x:f>MAX(J182-K182,0)</x:f>
        <x:v>239.1637862173369</x:v>
      </x:c>
      <x:c r="M182" s="185" t="n">
        <x:f>MAX('詳細設定'!$D$6,0)*(1+'詳細設定'!$D$21)^(B182-1)</x:f>
        <x:v>40.23159746331679</x:v>
      </x:c>
      <x:c r="N182" s="185" t="n">
        <x:f>IF(B182&lt;=MAX(MIN('詳細設定'!$D$8,20),0),MAX('詳細設定'!$D$7,0),IF(B182&lt;=MAX(MIN('詳細設定'!$D$10,20),0),MAX('詳細設定'!$D$9,0),MAX('詳細設定'!$D$11,0)))</x:f>
        <x:v>8.3</x:v>
      </x:c>
      <x:c r="O182" s="190" t="n">
        <x:f>K182*M182</x:f>
        <x:v>5181.045248022351</x:v>
      </x:c>
      <x:c r="P182" s="190" t="n">
        <x:f>L182*N182</x:f>
        <x:v>1985.0594256038964</x:v>
      </x:c>
      <x:c r="Q182" s="190" t="n">
        <x:f>O182+P182</x:f>
        <x:v>7166.104673626248</x:v>
      </x:c>
      <x:c r="R182" s="196" t="n">
        <x:f>J182-K182-L182</x:f>
        <x:v>0</x:v>
      </x:c>
    </x:row>
    <x:row r="183">
      <x:c r="A183" s="20" t="str">
        <x:v>慎重</x:v>
      </x:c>
      <x:c r="B183" s="20" t="n">
        <x:v>15</x:v>
      </x:c>
      <x:c r="C183" s="20" t="n">
        <x:v>11</x:v>
      </x:c>
      <x:c r="D183" s="189" t="n">
        <x:v>0.9</x:v>
      </x:c>
      <x:c r="E183" s="189" t="n">
        <x:v>1.1</x:v>
      </x:c>
      <x:c r="F183" s="189" t="n">
        <x:f>MAX(MIN('詳細設定'!$D$15+-0.05,1),0)</x:f>
        <x:v>0.35000000000000003</x:v>
      </x:c>
      <x:c r="G183" s="563" t="n">
        <x:f>'_計算月次'!$J$15</x:f>
        <x:v>398.45169764745054</x:v>
      </x:c>
      <x:c r="H183" s="563" t="n">
        <x:f>'_計算月次'!$K$15</x:f>
        <x:v>360</x:v>
      </x:c>
      <x:c r="I183" s="563" t="n">
        <x:f>(1-MAX(MIN('詳細設定'!$D$16,0.999999),0))^(B183-1)</x:f>
        <x:v>1</x:v>
      </x:c>
      <x:c r="J183" s="563" t="n">
        <x:f>MAX(G183*D183*I183,0)</x:f>
        <x:v>358.6065278827055</x:v>
      </x:c>
      <x:c r="K183" s="563" t="n">
        <x:f>MAX(MIN(J183*F183,H183),0)</x:f>
        <x:v>125.51228475894693</x:v>
      </x:c>
      <x:c r="L183" s="563" t="n">
        <x:f>MAX(J183-K183,0)</x:f>
        <x:v>233.0942431237586</x:v>
      </x:c>
      <x:c r="M183" s="185" t="n">
        <x:f>MAX('詳細設定'!$D$6,0)*(1+'詳細設定'!$D$21)^(B183-1)</x:f>
        <x:v>40.23159746331679</x:v>
      </x:c>
      <x:c r="N183" s="185" t="n">
        <x:f>IF(B183&lt;=MAX(MIN('詳細設定'!$D$8,20),0),MAX('詳細設定'!$D$7,0),IF(B183&lt;=MAX(MIN('詳細設定'!$D$10,20),0),MAX('詳細設定'!$D$9,0),MAX('詳細設定'!$D$11,0)))</x:f>
        <x:v>8.3</x:v>
      </x:c>
      <x:c r="O183" s="190" t="n">
        <x:f>K183*M183</x:f>
        <x:v>5049.559717123144</x:v>
      </x:c>
      <x:c r="P183" s="190" t="n">
        <x:f>L183*N183</x:f>
        <x:v>1934.6822179271965</x:v>
      </x:c>
      <x:c r="Q183" s="190" t="n">
        <x:f>O183+P183</x:f>
        <x:v>6984.2419350503405</x:v>
      </x:c>
      <x:c r="R183" s="196" t="n">
        <x:f>J183-K183-L183</x:f>
        <x:v>0</x:v>
      </x:c>
    </x:row>
    <x:row r="184">
      <x:c r="A184" s="20" t="str">
        <x:v>慎重</x:v>
      </x:c>
      <x:c r="B184" s="20" t="n">
        <x:v>15</x:v>
      </x:c>
      <x:c r="C184" s="20" t="n">
        <x:v>12</x:v>
      </x:c>
      <x:c r="D184" s="189" t="n">
        <x:v>0.9</x:v>
      </x:c>
      <x:c r="E184" s="189" t="n">
        <x:v>1.1</x:v>
      </x:c>
      <x:c r="F184" s="189" t="n">
        <x:f>MAX(MIN('詳細設定'!$D$15+-0.05,1),0)</x:f>
        <x:v>0.35000000000000003</x:v>
      </x:c>
      <x:c r="G184" s="563" t="n">
        <x:f>'_計算月次'!$J$16</x:f>
        <x:v>443.97248688000184</x:v>
      </x:c>
      <x:c r="H184" s="563" t="n">
        <x:f>'_計算月次'!$K$16</x:f>
        <x:v>405</x:v>
      </x:c>
      <x:c r="I184" s="563" t="n">
        <x:f>(1-MAX(MIN('詳細設定'!$D$16,0.999999),0))^(B184-1)</x:f>
        <x:v>1</x:v>
      </x:c>
      <x:c r="J184" s="563" t="n">
        <x:f>MAX(G184*D184*I184,0)</x:f>
        <x:v>399.5752381920017</x:v>
      </x:c>
      <x:c r="K184" s="563" t="n">
        <x:f>MAX(MIN(J184*F184,H184),0)</x:f>
        <x:v>139.8513333672006</x:v>
      </x:c>
      <x:c r="L184" s="563" t="n">
        <x:f>MAX(J184-K184,0)</x:f>
        <x:v>259.7239048248011</x:v>
      </x:c>
      <x:c r="M184" s="185" t="n">
        <x:f>MAX('詳細設定'!$D$6,0)*(1+'詳細設定'!$D$21)^(B184-1)</x:f>
        <x:v>40.23159746331679</x:v>
      </x:c>
      <x:c r="N184" s="185" t="n">
        <x:f>IF(B184&lt;=MAX(MIN('詳細設定'!$D$8,20),0),MAX('詳細設定'!$D$7,0),IF(B184&lt;=MAX(MIN('詳細設定'!$D$10,20),0),MAX('詳細設定'!$D$9,0),MAX('詳細設定'!$D$11,0)))</x:f>
        <x:v>8.3</x:v>
      </x:c>
      <x:c r="O184" s="190" t="n">
        <x:f>K184*M184</x:f>
        <x:v>5626.442548737338</x:v>
      </x:c>
      <x:c r="P184" s="190" t="n">
        <x:f>L184*N184</x:f>
        <x:v>2155.708410045849</x:v>
      </x:c>
      <x:c r="Q184" s="190" t="n">
        <x:f>O184+P184</x:f>
        <x:v>7782.150958783188</x:v>
      </x:c>
      <x:c r="R184" s="196" t="n">
        <x:f>J184-K184-L184</x:f>
        <x:v>0</x:v>
      </x:c>
    </x:row>
    <x:row r="185">
      <x:c r="A185" s="20" t="str">
        <x:v>慎重</x:v>
      </x:c>
      <x:c r="B185" s="20" t="n">
        <x:v>16</x:v>
      </x:c>
      <x:c r="C185" s="20" t="n">
        <x:v>1</x:v>
      </x:c>
      <x:c r="D185" s="189" t="n">
        <x:v>0.9</x:v>
      </x:c>
      <x:c r="E185" s="189" t="n">
        <x:v>1.1</x:v>
      </x:c>
      <x:c r="F185" s="189" t="n">
        <x:f>MAX(MIN('詳細設定'!$D$15+-0.05,1),0)</x:f>
        <x:v>0.35000000000000003</x:v>
      </x:c>
      <x:c r="G185" s="563" t="n">
        <x:f>'_計算月次'!$J$5</x:f>
        <x:v>502.4147595742038</x:v>
      </x:c>
      <x:c r="H185" s="563" t="n">
        <x:f>'_計算月次'!$K$5</x:f>
        <x:v>450</x:v>
      </x:c>
      <x:c r="I185" s="563" t="n">
        <x:f>(1-MAX(MIN('詳細設定'!$D$16,0.999999),0))^(B185-1)</x:f>
        <x:v>1</x:v>
      </x:c>
      <x:c r="J185" s="563" t="n">
        <x:f>MAX(G185*D185*I185,0)</x:f>
        <x:v>452.1732836167834</x:v>
      </x:c>
      <x:c r="K185" s="563" t="n">
        <x:f>MAX(MIN(J185*F185,H185),0)</x:f>
        <x:v>158.2606492658742</x:v>
      </x:c>
      <x:c r="L185" s="563" t="n">
        <x:f>MAX(J185-K185,0)</x:f>
        <x:v>293.91263435090923</x:v>
      </x:c>
      <x:c r="M185" s="185" t="n">
        <x:f>MAX('詳細設定'!$D$6,0)*(1+'詳細設定'!$D$21)^(B185-1)</x:f>
        <x:v>40.63391343794996</x:v>
      </x:c>
      <x:c r="N185" s="185" t="n">
        <x:f>IF(B185&lt;=MAX(MIN('詳細設定'!$D$8,20),0),MAX('詳細設定'!$D$7,0),IF(B185&lt;=MAX(MIN('詳細設定'!$D$10,20),0),MAX('詳細設定'!$D$9,0),MAX('詳細設定'!$D$11,0)))</x:f>
        <x:v>8.3</x:v>
      </x:c>
      <x:c r="O185" s="190" t="n">
        <x:f>K185*M185</x:f>
        <x:v>6430.749522903291</x:v>
      </x:c>
      <x:c r="P185" s="190" t="n">
        <x:f>L185*N185</x:f>
        <x:v>2439.474865112547</x:v>
      </x:c>
      <x:c r="Q185" s="190" t="n">
        <x:f>O185+P185</x:f>
        <x:v>8870.224388015838</x:v>
      </x:c>
      <x:c r="R185" s="196" t="n">
        <x:f>J185-K185-L185</x:f>
        <x:v>0</x:v>
      </x:c>
    </x:row>
    <x:row r="186">
      <x:c r="A186" s="20" t="str">
        <x:v>慎重</x:v>
      </x:c>
      <x:c r="B186" s="20" t="n">
        <x:v>16</x:v>
      </x:c>
      <x:c r="C186" s="20" t="n">
        <x:v>2</x:v>
      </x:c>
      <x:c r="D186" s="189" t="n">
        <x:v>0.9</x:v>
      </x:c>
      <x:c r="E186" s="189" t="n">
        <x:v>1.1</x:v>
      </x:c>
      <x:c r="F186" s="189" t="n">
        <x:f>MAX(MIN('詳細設定'!$D$15+-0.05,1),0)</x:f>
        <x:v>0.35000000000000003</x:v>
      </x:c>
      <x:c r="G186" s="563" t="n">
        <x:f>'_計算月次'!$J$6</x:f>
        <x:v>472.4508339500229</x:v>
      </x:c>
      <x:c r="H186" s="563" t="n">
        <x:f>'_計算月次'!$K$6</x:f>
        <x:v>405</x:v>
      </x:c>
      <x:c r="I186" s="563" t="n">
        <x:f>(1-MAX(MIN('詳細設定'!$D$16,0.999999),0))^(B186-1)</x:f>
        <x:v>1</x:v>
      </x:c>
      <x:c r="J186" s="563" t="n">
        <x:f>MAX(G186*D186*I186,0)</x:f>
        <x:v>425.20575055502064</x:v>
      </x:c>
      <x:c r="K186" s="563" t="n">
        <x:f>MAX(MIN(J186*F186,H186),0)</x:f>
        <x:v>148.82201269425724</x:v>
      </x:c>
      <x:c r="L186" s="563" t="n">
        <x:f>MAX(J186-K186,0)</x:f>
        <x:v>276.3837378607634</x:v>
      </x:c>
      <x:c r="M186" s="185" t="n">
        <x:f>MAX('詳細設定'!$D$6,0)*(1+'詳細設定'!$D$21)^(B186-1)</x:f>
        <x:v>40.63391343794996</x:v>
      </x:c>
      <x:c r="N186" s="185" t="n">
        <x:f>IF(B186&lt;=MAX(MIN('詳細設定'!$D$8,20),0),MAX('詳細設定'!$D$7,0),IF(B186&lt;=MAX(MIN('詳細設定'!$D$10,20),0),MAX('詳細設定'!$D$9,0),MAX('詳細設定'!$D$11,0)))</x:f>
        <x:v>8.3</x:v>
      </x:c>
      <x:c r="O186" s="190" t="n">
        <x:f>K186*M186</x:f>
        <x:v>6047.2207814799385</x:v>
      </x:c>
      <x:c r="P186" s="190" t="n">
        <x:f>L186*N186</x:f>
        <x:v>2293.9850242443363</x:v>
      </x:c>
      <x:c r="Q186" s="190" t="n">
        <x:f>O186+P186</x:f>
        <x:v>8341.205805724276</x:v>
      </x:c>
      <x:c r="R186" s="196" t="n">
        <x:f>J186-K186-L186</x:f>
        <x:v>0</x:v>
      </x:c>
    </x:row>
    <x:row r="187">
      <x:c r="A187" s="20" t="str">
        <x:v>慎重</x:v>
      </x:c>
      <x:c r="B187" s="20" t="n">
        <x:v>16</x:v>
      </x:c>
      <x:c r="C187" s="20" t="n">
        <x:v>3</x:v>
      </x:c>
      <x:c r="D187" s="189" t="n">
        <x:v>0.9</x:v>
      </x:c>
      <x:c r="E187" s="189" t="n">
        <x:v>1.1</x:v>
      </x:c>
      <x:c r="F187" s="189" t="n">
        <x:f>MAX(MIN('詳細設定'!$D$15+-0.05,1),0)</x:f>
        <x:v>0.35000000000000003</x:v>
      </x:c>
      <x:c r="G187" s="563" t="n">
        <x:f>'_計算月次'!$J$7</x:f>
        <x:v>548.3418864753118</x:v>
      </x:c>
      <x:c r="H187" s="563" t="n">
        <x:f>'_計算月次'!$K$7</x:f>
        <x:v>360</x:v>
      </x:c>
      <x:c r="I187" s="563" t="n">
        <x:f>(1-MAX(MIN('詳細設定'!$D$16,0.999999),0))^(B187-1)</x:f>
        <x:v>1</x:v>
      </x:c>
      <x:c r="J187" s="563" t="n">
        <x:f>MAX(G187*D187*I187,0)</x:f>
        <x:v>493.5076978277806</x:v>
      </x:c>
      <x:c r="K187" s="563" t="n">
        <x:f>MAX(MIN(J187*F187,H187),0)</x:f>
        <x:v>172.72769423972323</x:v>
      </x:c>
      <x:c r="L187" s="563" t="n">
        <x:f>MAX(J187-K187,0)</x:f>
        <x:v>320.78000358805735</x:v>
      </x:c>
      <x:c r="M187" s="185" t="n">
        <x:f>MAX('詳細設定'!$D$6,0)*(1+'詳細設定'!$D$21)^(B187-1)</x:f>
        <x:v>40.63391343794996</x:v>
      </x:c>
      <x:c r="N187" s="185" t="n">
        <x:f>IF(B187&lt;=MAX(MIN('詳細設定'!$D$8,20),0),MAX('詳細設定'!$D$7,0),IF(B187&lt;=MAX(MIN('詳細設定'!$D$10,20),0),MAX('詳細設定'!$D$9,0),MAX('詳細設定'!$D$11,0)))</x:f>
        <x:v>8.3</x:v>
      </x:c>
      <x:c r="O187" s="190" t="n">
        <x:f>K187*M187</x:f>
        <x:v>7018.602176073601</x:v>
      </x:c>
      <x:c r="P187" s="190" t="n">
        <x:f>L187*N187</x:f>
        <x:v>2662.474029780876</x:v>
      </x:c>
      <x:c r="Q187" s="190" t="n">
        <x:f>O187+P187</x:f>
        <x:v>9681.076205854477</x:v>
      </x:c>
      <x:c r="R187" s="196" t="n">
        <x:f>J187-K187-L187</x:f>
        <x:v>0</x:v>
      </x:c>
    </x:row>
    <x:row r="188">
      <x:c r="A188" s="20" t="str">
        <x:v>慎重</x:v>
      </x:c>
      <x:c r="B188" s="20" t="n">
        <x:v>16</x:v>
      </x:c>
      <x:c r="C188" s="20" t="n">
        <x:v>4</x:v>
      </x:c>
      <x:c r="D188" s="189" t="n">
        <x:v>0.9</x:v>
      </x:c>
      <x:c r="E188" s="189" t="n">
        <x:v>1.1</x:v>
      </x:c>
      <x:c r="F188" s="189" t="n">
        <x:f>MAX(MIN('詳細設定'!$D$15+-0.05,1),0)</x:f>
        <x:v>0.35000000000000003</x:v>
      </x:c>
      <x:c r="G188" s="563" t="n">
        <x:f>'_計算月次'!$J$8</x:f>
        <x:v>548.3944393749554</x:v>
      </x:c>
      <x:c r="H188" s="563" t="n">
        <x:f>'_計算月次'!$K$8</x:f>
        <x:v>315.00000000000006</x:v>
      </x:c>
      <x:c r="I188" s="563" t="n">
        <x:f>(1-MAX(MIN('詳細設定'!$D$16,0.999999),0))^(B188-1)</x:f>
        <x:v>1</x:v>
      </x:c>
      <x:c r="J188" s="563" t="n">
        <x:f>MAX(G188*D188*I188,0)</x:f>
        <x:v>493.55499543745987</x:v>
      </x:c>
      <x:c r="K188" s="563" t="n">
        <x:f>MAX(MIN(J188*F188,H188),0)</x:f>
        <x:v>172.74424840311096</x:v>
      </x:c>
      <x:c r="L188" s="563" t="n">
        <x:f>MAX(J188-K188,0)</x:f>
        <x:v>320.8107470343489</x:v>
      </x:c>
      <x:c r="M188" s="185" t="n">
        <x:f>MAX('詳細設定'!$D$6,0)*(1+'詳細設定'!$D$21)^(B188-1)</x:f>
        <x:v>40.63391343794996</x:v>
      </x:c>
      <x:c r="N188" s="185" t="n">
        <x:f>IF(B188&lt;=MAX(MIN('詳細設定'!$D$8,20),0),MAX('詳細設定'!$D$7,0),IF(B188&lt;=MAX(MIN('詳細設定'!$D$10,20),0),MAX('詳細設定'!$D$9,0),MAX('詳細設定'!$D$11,0)))</x:f>
        <x:v>8.3</x:v>
      </x:c>
      <x:c r="O188" s="190" t="n">
        <x:f>K188*M188</x:f>
        <x:v>7019.274836515736</x:v>
      </x:c>
      <x:c r="P188" s="190" t="n">
        <x:f>L188*N188</x:f>
        <x:v>2662.7292003850957</x:v>
      </x:c>
      <x:c r="Q188" s="190" t="n">
        <x:f>O188+P188</x:f>
        <x:v>9682.004036900831</x:v>
      </x:c>
      <x:c r="R188" s="196" t="n">
        <x:f>J188-K188-L188</x:f>
        <x:v>0</x:v>
      </x:c>
    </x:row>
    <x:row r="189">
      <x:c r="A189" s="20" t="str">
        <x:v>慎重</x:v>
      </x:c>
      <x:c r="B189" s="20" t="n">
        <x:v>16</x:v>
      </x:c>
      <x:c r="C189" s="20" t="n">
        <x:v>5</x:v>
      </x:c>
      <x:c r="D189" s="189" t="n">
        <x:v>0.9</x:v>
      </x:c>
      <x:c r="E189" s="189" t="n">
        <x:v>1.1</x:v>
      </x:c>
      <x:c r="F189" s="189" t="n">
        <x:f>MAX(MIN('詳細設定'!$D$15+-0.05,1),0)</x:f>
        <x:v>0.35000000000000003</x:v>
      </x:c>
      <x:c r="G189" s="563" t="n">
        <x:f>'_計算月次'!$J$9</x:f>
        <x:v>552.2367574934775</x:v>
      </x:c>
      <x:c r="H189" s="563" t="n">
        <x:f>'_計算月次'!$K$9</x:f>
        <x:v>315.00000000000006</x:v>
      </x:c>
      <x:c r="I189" s="563" t="n">
        <x:f>(1-MAX(MIN('詳細設定'!$D$16,0.999999),0))^(B189-1)</x:f>
        <x:v>1</x:v>
      </x:c>
      <x:c r="J189" s="563" t="n">
        <x:f>MAX(G189*D189*I189,0)</x:f>
        <x:v>497.01308174412975</x:v>
      </x:c>
      <x:c r="K189" s="563" t="n">
        <x:f>MAX(MIN(J189*F189,H189),0)</x:f>
        <x:v>173.95457861044542</x:v>
      </x:c>
      <x:c r="L189" s="563" t="n">
        <x:f>MAX(J189-K189,0)</x:f>
        <x:v>323.0585031336843</x:v>
      </x:c>
      <x:c r="M189" s="185" t="n">
        <x:f>MAX('詳細設定'!$D$6,0)*(1+'詳細設定'!$D$21)^(B189-1)</x:f>
        <x:v>40.63391343794996</x:v>
      </x:c>
      <x:c r="N189" s="185" t="n">
        <x:f>IF(B189&lt;=MAX(MIN('詳細設定'!$D$8,20),0),MAX('詳細設定'!$D$7,0),IF(B189&lt;=MAX(MIN('詳細設定'!$D$10,20),0),MAX('詳細設定'!$D$9,0),MAX('詳細設定'!$D$11,0)))</x:f>
        <x:v>8.3</x:v>
      </x:c>
      <x:c r="O189" s="190" t="n">
        <x:f>K189*M189</x:f>
        <x:v>7068.455289391901</x:v>
      </x:c>
      <x:c r="P189" s="190" t="n">
        <x:f>L189*N189</x:f>
        <x:v>2681.3855760095803</x:v>
      </x:c>
      <x:c r="Q189" s="190" t="n">
        <x:f>O189+P189</x:f>
        <x:v>9749.840865401482</x:v>
      </x:c>
      <x:c r="R189" s="196" t="n">
        <x:f>J189-K189-L189</x:f>
        <x:v>0</x:v>
      </x:c>
    </x:row>
    <x:row r="190">
      <x:c r="A190" s="20" t="str">
        <x:v>慎重</x:v>
      </x:c>
      <x:c r="B190" s="20" t="n">
        <x:v>16</x:v>
      </x:c>
      <x:c r="C190" s="20" t="n">
        <x:v>6</x:v>
      </x:c>
      <x:c r="D190" s="189" t="n">
        <x:v>0.9</x:v>
      </x:c>
      <x:c r="E190" s="189" t="n">
        <x:v>1.1</x:v>
      </x:c>
      <x:c r="F190" s="189" t="n">
        <x:f>MAX(MIN('詳細設定'!$D$15+-0.05,1),0)</x:f>
        <x:v>0.35000000000000003</x:v>
      </x:c>
      <x:c r="G190" s="563" t="n">
        <x:f>'_計算月次'!$J$10</x:f>
        <x:v>448.7994857612148</x:v>
      </x:c>
      <x:c r="H190" s="563" t="n">
        <x:f>'_計算月次'!$K$10</x:f>
        <x:v>360</x:v>
      </x:c>
      <x:c r="I190" s="563" t="n">
        <x:f>(1-MAX(MIN('詳細設定'!$D$16,0.999999),0))^(B190-1)</x:f>
        <x:v>1</x:v>
      </x:c>
      <x:c r="J190" s="563" t="n">
        <x:f>MAX(G190*D190*I190,0)</x:f>
        <x:v>403.9195371850933</x:v>
      </x:c>
      <x:c r="K190" s="563" t="n">
        <x:f>MAX(MIN(J190*F190,H190),0)</x:f>
        <x:v>141.37183801478267</x:v>
      </x:c>
      <x:c r="L190" s="563" t="n">
        <x:f>MAX(J190-K190,0)</x:f>
        <x:v>262.54769917031064</x:v>
      </x:c>
      <x:c r="M190" s="185" t="n">
        <x:f>MAX('詳細設定'!$D$6,0)*(1+'詳細設定'!$D$21)^(B190-1)</x:f>
        <x:v>40.63391343794996</x:v>
      </x:c>
      <x:c r="N190" s="185" t="n">
        <x:f>IF(B190&lt;=MAX(MIN('詳細設定'!$D$8,20),0),MAX('詳細設定'!$D$7,0),IF(B190&lt;=MAX(MIN('詳細設定'!$D$10,20),0),MAX('詳細設定'!$D$9,0),MAX('詳細設定'!$D$11,0)))</x:f>
        <x:v>8.3</x:v>
      </x:c>
      <x:c r="O190" s="190" t="n">
        <x:f>K190*M190</x:f>
        <x:v>5744.491028456562</x:v>
      </x:c>
      <x:c r="P190" s="190" t="n">
        <x:f>L190*N190</x:f>
        <x:v>2179.1459031135782</x:v>
      </x:c>
      <x:c r="Q190" s="190" t="n">
        <x:f>O190+P190</x:f>
        <x:v>7923.63693157014</x:v>
      </x:c>
      <x:c r="R190" s="196" t="n">
        <x:f>J190-K190-L190</x:f>
        <x:v>0</x:v>
      </x:c>
    </x:row>
    <x:row r="191">
      <x:c r="A191" s="20" t="str">
        <x:v>慎重</x:v>
      </x:c>
      <x:c r="B191" s="20" t="n">
        <x:v>16</x:v>
      </x:c>
      <x:c r="C191" s="20" t="n">
        <x:v>7</x:v>
      </x:c>
      <x:c r="D191" s="189" t="n">
        <x:v>0.9</x:v>
      </x:c>
      <x:c r="E191" s="189" t="n">
        <x:v>1.1</x:v>
      </x:c>
      <x:c r="F191" s="189" t="n">
        <x:f>MAX(MIN('詳細設定'!$D$15+-0.05,1),0)</x:f>
        <x:v>0.35000000000000003</x:v>
      </x:c>
      <x:c r="G191" s="563" t="n">
        <x:f>'_計算月次'!$J$11</x:f>
        <x:v>476.0181638067866</x:v>
      </x:c>
      <x:c r="H191" s="563" t="n">
        <x:f>'_計算月次'!$K$11</x:f>
        <x:v>405</x:v>
      </x:c>
      <x:c r="I191" s="563" t="n">
        <x:f>(1-MAX(MIN('詳細設定'!$D$16,0.999999),0))^(B191-1)</x:f>
        <x:v>1</x:v>
      </x:c>
      <x:c r="J191" s="563" t="n">
        <x:f>MAX(G191*D191*I191,0)</x:f>
        <x:v>428.41634742610796</x:v>
      </x:c>
      <x:c r="K191" s="563" t="n">
        <x:f>MAX(MIN(J191*F191,H191),0)</x:f>
        <x:v>149.9457215991378</x:v>
      </x:c>
      <x:c r="L191" s="563" t="n">
        <x:f>MAX(J191-K191,0)</x:f>
        <x:v>278.47062582697015</x:v>
      </x:c>
      <x:c r="M191" s="185" t="n">
        <x:f>MAX('詳細設定'!$D$6,0)*(1+'詳細設定'!$D$21)^(B191-1)</x:f>
        <x:v>40.63391343794996</x:v>
      </x:c>
      <x:c r="N191" s="185" t="n">
        <x:f>IF(B191&lt;=MAX(MIN('詳細設定'!$D$8,20),0),MAX('詳細設定'!$D$7,0),IF(B191&lt;=MAX(MIN('詳細設定'!$D$10,20),0),MAX('詳細設定'!$D$9,0),MAX('詳細設定'!$D$11,0)))</x:f>
        <x:v>8.3</x:v>
      </x:c>
      <x:c r="O191" s="190" t="n">
        <x:f>K191*M191</x:f>
        <x:v>6092.881471850309</x:v>
      </x:c>
      <x:c r="P191" s="190" t="n">
        <x:f>L191*N191</x:f>
        <x:v>2311.3061943638522</x:v>
      </x:c>
      <x:c r="Q191" s="190" t="n">
        <x:f>O191+P191</x:f>
        <x:v>8404.187666214162</x:v>
      </x:c>
      <x:c r="R191" s="196" t="n">
        <x:f>J191-K191-L191</x:f>
        <x:v>0</x:v>
      </x:c>
    </x:row>
    <x:row r="192">
      <x:c r="A192" s="20" t="str">
        <x:v>慎重</x:v>
      </x:c>
      <x:c r="B192" s="20" t="n">
        <x:v>16</x:v>
      </x:c>
      <x:c r="C192" s="20" t="n">
        <x:v>8</x:v>
      </x:c>
      <x:c r="D192" s="189" t="n">
        <x:v>0.9</x:v>
      </x:c>
      <x:c r="E192" s="189" t="n">
        <x:v>1.1</x:v>
      </x:c>
      <x:c r="F192" s="189" t="n">
        <x:f>MAX(MIN('詳細設定'!$D$15+-0.05,1),0)</x:f>
        <x:v>0.35000000000000003</x:v>
      </x:c>
      <x:c r="G192" s="563" t="n">
        <x:f>'_計算月次'!$J$12</x:f>
        <x:v>528.6548067323699</x:v>
      </x:c>
      <x:c r="H192" s="563" t="n">
        <x:f>'_計算月次'!$K$12</x:f>
        <x:v>450</x:v>
      </x:c>
      <x:c r="I192" s="563" t="n">
        <x:f>(1-MAX(MIN('詳細設定'!$D$16,0.999999),0))^(B192-1)</x:f>
        <x:v>1</x:v>
      </x:c>
      <x:c r="J192" s="563" t="n">
        <x:f>MAX(G192*D192*I192,0)</x:f>
        <x:v>475.789326059133</x:v>
      </x:c>
      <x:c r="K192" s="563" t="n">
        <x:f>MAX(MIN(J192*F192,H192),0)</x:f>
        <x:v>166.52626412069657</x:v>
      </x:c>
      <x:c r="L192" s="563" t="n">
        <x:f>MAX(J192-K192,0)</x:f>
        <x:v>309.2630619384364</x:v>
      </x:c>
      <x:c r="M192" s="185" t="n">
        <x:f>MAX('詳細設定'!$D$6,0)*(1+'詳細設定'!$D$21)^(B192-1)</x:f>
        <x:v>40.63391343794996</x:v>
      </x:c>
      <x:c r="N192" s="185" t="n">
        <x:f>IF(B192&lt;=MAX(MIN('詳細設定'!$D$8,20),0),MAX('詳細設定'!$D$7,0),IF(B192&lt;=MAX(MIN('詳細設定'!$D$10,20),0),MAX('詳細設定'!$D$9,0),MAX('詳細設定'!$D$11,0)))</x:f>
        <x:v>8.3</x:v>
      </x:c>
      <x:c r="O192" s="190" t="n">
        <x:f>K192*M192</x:f>
        <x:v>6766.613801425576</x:v>
      </x:c>
      <x:c r="P192" s="190" t="n">
        <x:f>L192*N192</x:f>
        <x:v>2566.8834140890226</x:v>
      </x:c>
      <x:c r="Q192" s="190" t="n">
        <x:f>O192+P192</x:f>
        <x:v>9333.497215514599</x:v>
      </x:c>
      <x:c r="R192" s="196" t="n">
        <x:f>J192-K192-L192</x:f>
        <x:v>0</x:v>
      </x:c>
    </x:row>
    <x:row r="193">
      <x:c r="A193" s="20" t="str">
        <x:v>慎重</x:v>
      </x:c>
      <x:c r="B193" s="20" t="n">
        <x:v>16</x:v>
      </x:c>
      <x:c r="C193" s="20" t="n">
        <x:v>9</x:v>
      </x:c>
      <x:c r="D193" s="189" t="n">
        <x:v>0.9</x:v>
      </x:c>
      <x:c r="E193" s="189" t="n">
        <x:v>1.1</x:v>
      </x:c>
      <x:c r="F193" s="189" t="n">
        <x:f>MAX(MIN('詳細設定'!$D$15+-0.05,1),0)</x:f>
        <x:v>0.35000000000000003</x:v>
      </x:c>
      <x:c r="G193" s="563" t="n">
        <x:f>'_計算月次'!$J$13</x:f>
        <x:v>436.37734765103465</x:v>
      </x:c>
      <x:c r="H193" s="563" t="n">
        <x:f>'_計算月次'!$K$13</x:f>
        <x:v>360</x:v>
      </x:c>
      <x:c r="I193" s="563" t="n">
        <x:f>(1-MAX(MIN('詳細設定'!$D$16,0.999999),0))^(B193-1)</x:f>
        <x:v>1</x:v>
      </x:c>
      <x:c r="J193" s="563" t="n">
        <x:f>MAX(G193*D193*I193,0)</x:f>
        <x:v>392.7396128859312</x:v>
      </x:c>
      <x:c r="K193" s="563" t="n">
        <x:f>MAX(MIN(J193*F193,H193),0)</x:f>
        <x:v>137.45886451007593</x:v>
      </x:c>
      <x:c r="L193" s="563" t="n">
        <x:f>MAX(J193-K193,0)</x:f>
        <x:v>255.28074837585527</x:v>
      </x:c>
      <x:c r="M193" s="185" t="n">
        <x:f>MAX('詳細設定'!$D$6,0)*(1+'詳細設定'!$D$21)^(B193-1)</x:f>
        <x:v>40.63391343794996</x:v>
      </x:c>
      <x:c r="N193" s="185" t="n">
        <x:f>IF(B193&lt;=MAX(MIN('詳細設定'!$D$8,20),0),MAX('詳細設定'!$D$7,0),IF(B193&lt;=MAX(MIN('詳細設定'!$D$10,20),0),MAX('詳細設定'!$D$9,0),MAX('詳細設定'!$D$11,0)))</x:f>
        <x:v>8.3</x:v>
      </x:c>
      <x:c r="O193" s="190" t="n">
        <x:f>K193*M193</x:f>
        <x:v>5585.491601781317</x:v>
      </x:c>
      <x:c r="P193" s="190" t="n">
        <x:f>L193*N193</x:f>
        <x:v>2118.830211519599</x:v>
      </x:c>
      <x:c r="Q193" s="190" t="n">
        <x:f>O193+P193</x:f>
        <x:v>7704.321813300916</x:v>
      </x:c>
      <x:c r="R193" s="196" t="n">
        <x:f>J193-K193-L193</x:f>
        <x:v>0</x:v>
      </x:c>
    </x:row>
    <x:row r="194">
      <x:c r="A194" s="20" t="str">
        <x:v>慎重</x:v>
      </x:c>
      <x:c r="B194" s="20" t="n">
        <x:v>16</x:v>
      </x:c>
      <x:c r="C194" s="20" t="n">
        <x:v>10</x:v>
      </x:c>
      <x:c r="D194" s="189" t="n">
        <x:v>0.9</x:v>
      </x:c>
      <x:c r="E194" s="189" t="n">
        <x:v>1.1</x:v>
      </x:c>
      <x:c r="F194" s="189" t="n">
        <x:f>MAX(MIN('詳細設定'!$D$15+-0.05,1),0)</x:f>
        <x:v>0.35000000000000003</x:v>
      </x:c>
      <x:c r="G194" s="563" t="n">
        <x:f>'_計算月次'!$J$14</x:f>
        <x:v>408.8269849869007</x:v>
      </x:c>
      <x:c r="H194" s="563" t="n">
        <x:f>'_計算月次'!$K$14</x:f>
        <x:v>315.00000000000006</x:v>
      </x:c>
      <x:c r="I194" s="563" t="n">
        <x:f>(1-MAX(MIN('詳細設定'!$D$16,0.999999),0))^(B194-1)</x:f>
        <x:v>1</x:v>
      </x:c>
      <x:c r="J194" s="563" t="n">
        <x:f>MAX(G194*D194*I194,0)</x:f>
        <x:v>367.94428648821065</x:v>
      </x:c>
      <x:c r="K194" s="563" t="n">
        <x:f>MAX(MIN(J194*F194,H194),0)</x:f>
        <x:v>128.78050027087374</x:v>
      </x:c>
      <x:c r="L194" s="563" t="n">
        <x:f>MAX(J194-K194,0)</x:f>
        <x:v>239.1637862173369</x:v>
      </x:c>
      <x:c r="M194" s="185" t="n">
        <x:f>MAX('詳細設定'!$D$6,0)*(1+'詳細設定'!$D$21)^(B194-1)</x:f>
        <x:v>40.63391343794996</x:v>
      </x:c>
      <x:c r="N194" s="185" t="n">
        <x:f>IF(B194&lt;=MAX(MIN('詳細設定'!$D$8,20),0),MAX('詳細設定'!$D$7,0),IF(B194&lt;=MAX(MIN('詳細設定'!$D$10,20),0),MAX('詳細設定'!$D$9,0),MAX('詳細設定'!$D$11,0)))</x:f>
        <x:v>8.3</x:v>
      </x:c>
      <x:c r="O194" s="190" t="n">
        <x:f>K194*M194</x:f>
        <x:v>5232.855700502575</x:v>
      </x:c>
      <x:c r="P194" s="190" t="n">
        <x:f>L194*N194</x:f>
        <x:v>1985.0594256038964</x:v>
      </x:c>
      <x:c r="Q194" s="190" t="n">
        <x:f>O194+P194</x:f>
        <x:v>7217.915126106472</x:v>
      </x:c>
      <x:c r="R194" s="196" t="n">
        <x:f>J194-K194-L194</x:f>
        <x:v>0</x:v>
      </x:c>
    </x:row>
    <x:row r="195">
      <x:c r="A195" s="20" t="str">
        <x:v>慎重</x:v>
      </x:c>
      <x:c r="B195" s="20" t="n">
        <x:v>16</x:v>
      </x:c>
      <x:c r="C195" s="20" t="n">
        <x:v>11</x:v>
      </x:c>
      <x:c r="D195" s="189" t="n">
        <x:v>0.9</x:v>
      </x:c>
      <x:c r="E195" s="189" t="n">
        <x:v>1.1</x:v>
      </x:c>
      <x:c r="F195" s="189" t="n">
        <x:f>MAX(MIN('詳細設定'!$D$15+-0.05,1),0)</x:f>
        <x:v>0.35000000000000003</x:v>
      </x:c>
      <x:c r="G195" s="563" t="n">
        <x:f>'_計算月次'!$J$15</x:f>
        <x:v>398.45169764745054</x:v>
      </x:c>
      <x:c r="H195" s="563" t="n">
        <x:f>'_計算月次'!$K$15</x:f>
        <x:v>360</x:v>
      </x:c>
      <x:c r="I195" s="563" t="n">
        <x:f>(1-MAX(MIN('詳細設定'!$D$16,0.999999),0))^(B195-1)</x:f>
        <x:v>1</x:v>
      </x:c>
      <x:c r="J195" s="563" t="n">
        <x:f>MAX(G195*D195*I195,0)</x:f>
        <x:v>358.6065278827055</x:v>
      </x:c>
      <x:c r="K195" s="563" t="n">
        <x:f>MAX(MIN(J195*F195,H195),0)</x:f>
        <x:v>125.51228475894693</x:v>
      </x:c>
      <x:c r="L195" s="563" t="n">
        <x:f>MAX(J195-K195,0)</x:f>
        <x:v>233.0942431237586</x:v>
      </x:c>
      <x:c r="M195" s="185" t="n">
        <x:f>MAX('詳細設定'!$D$6,0)*(1+'詳細設定'!$D$21)^(B195-1)</x:f>
        <x:v>40.63391343794996</x:v>
      </x:c>
      <x:c r="N195" s="185" t="n">
        <x:f>IF(B195&lt;=MAX(MIN('詳細設定'!$D$8,20),0),MAX('詳細設定'!$D$7,0),IF(B195&lt;=MAX(MIN('詳細設定'!$D$10,20),0),MAX('詳細設定'!$D$9,0),MAX('詳細設定'!$D$11,0)))</x:f>
        <x:v>8.3</x:v>
      </x:c>
      <x:c r="O195" s="190" t="n">
        <x:f>K195*M195</x:f>
        <x:v>5100.055314294375</x:v>
      </x:c>
      <x:c r="P195" s="190" t="n">
        <x:f>L195*N195</x:f>
        <x:v>1934.6822179271965</x:v>
      </x:c>
      <x:c r="Q195" s="190" t="n">
        <x:f>O195+P195</x:f>
        <x:v>7034.737532221572</x:v>
      </x:c>
      <x:c r="R195" s="196" t="n">
        <x:f>J195-K195-L195</x:f>
        <x:v>0</x:v>
      </x:c>
    </x:row>
    <x:row r="196">
      <x:c r="A196" s="20" t="str">
        <x:v>慎重</x:v>
      </x:c>
      <x:c r="B196" s="20" t="n">
        <x:v>16</x:v>
      </x:c>
      <x:c r="C196" s="20" t="n">
        <x:v>12</x:v>
      </x:c>
      <x:c r="D196" s="189" t="n">
        <x:v>0.9</x:v>
      </x:c>
      <x:c r="E196" s="189" t="n">
        <x:v>1.1</x:v>
      </x:c>
      <x:c r="F196" s="189" t="n">
        <x:f>MAX(MIN('詳細設定'!$D$15+-0.05,1),0)</x:f>
        <x:v>0.35000000000000003</x:v>
      </x:c>
      <x:c r="G196" s="563" t="n">
        <x:f>'_計算月次'!$J$16</x:f>
        <x:v>443.97248688000184</x:v>
      </x:c>
      <x:c r="H196" s="563" t="n">
        <x:f>'_計算月次'!$K$16</x:f>
        <x:v>405</x:v>
      </x:c>
      <x:c r="I196" s="563" t="n">
        <x:f>(1-MAX(MIN('詳細設定'!$D$16,0.999999),0))^(B196-1)</x:f>
        <x:v>1</x:v>
      </x:c>
      <x:c r="J196" s="563" t="n">
        <x:f>MAX(G196*D196*I196,0)</x:f>
        <x:v>399.5752381920017</x:v>
      </x:c>
      <x:c r="K196" s="563" t="n">
        <x:f>MAX(MIN(J196*F196,H196),0)</x:f>
        <x:v>139.8513333672006</x:v>
      </x:c>
      <x:c r="L196" s="563" t="n">
        <x:f>MAX(J196-K196,0)</x:f>
        <x:v>259.7239048248011</x:v>
      </x:c>
      <x:c r="M196" s="185" t="n">
        <x:f>MAX('詳細設定'!$D$6,0)*(1+'詳細設定'!$D$21)^(B196-1)</x:f>
        <x:v>40.63391343794996</x:v>
      </x:c>
      <x:c r="N196" s="185" t="n">
        <x:f>IF(B196&lt;=MAX(MIN('詳細設定'!$D$8,20),0),MAX('詳細設定'!$D$7,0),IF(B196&lt;=MAX(MIN('詳細設定'!$D$10,20),0),MAX('詳細設定'!$D$9,0),MAX('詳細設定'!$D$11,0)))</x:f>
        <x:v>8.3</x:v>
      </x:c>
      <x:c r="O196" s="190" t="n">
        <x:f>K196*M196</x:f>
        <x:v>5682.706974224711</x:v>
      </x:c>
      <x:c r="P196" s="190" t="n">
        <x:f>L196*N196</x:f>
        <x:v>2155.708410045849</x:v>
      </x:c>
      <x:c r="Q196" s="190" t="n">
        <x:f>O196+P196</x:f>
        <x:v>7838.41538427056</x:v>
      </x:c>
      <x:c r="R196" s="196" t="n">
        <x:f>J196-K196-L196</x:f>
        <x:v>0</x:v>
      </x:c>
    </x:row>
    <x:row r="197">
      <x:c r="A197" s="20" t="str">
        <x:v>慎重</x:v>
      </x:c>
      <x:c r="B197" s="20" t="n">
        <x:v>17</x:v>
      </x:c>
      <x:c r="C197" s="20" t="n">
        <x:v>1</x:v>
      </x:c>
      <x:c r="D197" s="189" t="n">
        <x:v>0.9</x:v>
      </x:c>
      <x:c r="E197" s="189" t="n">
        <x:v>1.1</x:v>
      </x:c>
      <x:c r="F197" s="189" t="n">
        <x:f>MAX(MIN('詳細設定'!$D$15+-0.05,1),0)</x:f>
        <x:v>0.35000000000000003</x:v>
      </x:c>
      <x:c r="G197" s="563" t="n">
        <x:f>'_計算月次'!$J$5</x:f>
        <x:v>502.4147595742038</x:v>
      </x:c>
      <x:c r="H197" s="563" t="n">
        <x:f>'_計算月次'!$K$5</x:f>
        <x:v>450</x:v>
      </x:c>
      <x:c r="I197" s="563" t="n">
        <x:f>(1-MAX(MIN('詳細設定'!$D$16,0.999999),0))^(B197-1)</x:f>
        <x:v>1</x:v>
      </x:c>
      <x:c r="J197" s="563" t="n">
        <x:f>MAX(G197*D197*I197,0)</x:f>
        <x:v>452.1732836167834</x:v>
      </x:c>
      <x:c r="K197" s="563" t="n">
        <x:f>MAX(MIN(J197*F197,H197),0)</x:f>
        <x:v>158.2606492658742</x:v>
      </x:c>
      <x:c r="L197" s="563" t="n">
        <x:f>MAX(J197-K197,0)</x:f>
        <x:v>293.91263435090923</x:v>
      </x:c>
      <x:c r="M197" s="185" t="n">
        <x:f>MAX('詳細設定'!$D$6,0)*(1+'詳細設定'!$D$21)^(B197-1)</x:f>
        <x:v>41.04025257232946</x:v>
      </x:c>
      <x:c r="N197" s="185" t="n">
        <x:f>IF(B197&lt;=MAX(MIN('詳細設定'!$D$8,20),0),MAX('詳細設定'!$D$7,0),IF(B197&lt;=MAX(MIN('詳細設定'!$D$10,20),0),MAX('詳細設定'!$D$9,0),MAX('詳細設定'!$D$11,0)))</x:f>
        <x:v>8.3</x:v>
      </x:c>
      <x:c r="O197" s="190" t="n">
        <x:f>K197*M197</x:f>
        <x:v>6495.057018132324</x:v>
      </x:c>
      <x:c r="P197" s="190" t="n">
        <x:f>L197*N197</x:f>
        <x:v>2439.474865112547</x:v>
      </x:c>
      <x:c r="Q197" s="190" t="n">
        <x:f>O197+P197</x:f>
        <x:v>8934.53188324487</x:v>
      </x:c>
      <x:c r="R197" s="196" t="n">
        <x:f>J197-K197-L197</x:f>
        <x:v>0</x:v>
      </x:c>
    </x:row>
    <x:row r="198">
      <x:c r="A198" s="20" t="str">
        <x:v>慎重</x:v>
      </x:c>
      <x:c r="B198" s="20" t="n">
        <x:v>17</x:v>
      </x:c>
      <x:c r="C198" s="20" t="n">
        <x:v>2</x:v>
      </x:c>
      <x:c r="D198" s="189" t="n">
        <x:v>0.9</x:v>
      </x:c>
      <x:c r="E198" s="189" t="n">
        <x:v>1.1</x:v>
      </x:c>
      <x:c r="F198" s="189" t="n">
        <x:f>MAX(MIN('詳細設定'!$D$15+-0.05,1),0)</x:f>
        <x:v>0.35000000000000003</x:v>
      </x:c>
      <x:c r="G198" s="563" t="n">
        <x:f>'_計算月次'!$J$6</x:f>
        <x:v>472.4508339500229</x:v>
      </x:c>
      <x:c r="H198" s="563" t="n">
        <x:f>'_計算月次'!$K$6</x:f>
        <x:v>405</x:v>
      </x:c>
      <x:c r="I198" s="563" t="n">
        <x:f>(1-MAX(MIN('詳細設定'!$D$16,0.999999),0))^(B198-1)</x:f>
        <x:v>1</x:v>
      </x:c>
      <x:c r="J198" s="563" t="n">
        <x:f>MAX(G198*D198*I198,0)</x:f>
        <x:v>425.20575055502064</x:v>
      </x:c>
      <x:c r="K198" s="563" t="n">
        <x:f>MAX(MIN(J198*F198,H198),0)</x:f>
        <x:v>148.82201269425724</x:v>
      </x:c>
      <x:c r="L198" s="563" t="n">
        <x:f>MAX(J198-K198,0)</x:f>
        <x:v>276.3837378607634</x:v>
      </x:c>
      <x:c r="M198" s="185" t="n">
        <x:f>MAX('詳細設定'!$D$6,0)*(1+'詳細設定'!$D$21)^(B198-1)</x:f>
        <x:v>41.04025257232946</x:v>
      </x:c>
      <x:c r="N198" s="185" t="n">
        <x:f>IF(B198&lt;=MAX(MIN('詳細設定'!$D$8,20),0),MAX('詳細設定'!$D$7,0),IF(B198&lt;=MAX(MIN('詳細設定'!$D$10,20),0),MAX('詳細設定'!$D$9,0),MAX('詳細設定'!$D$11,0)))</x:f>
        <x:v>8.3</x:v>
      </x:c>
      <x:c r="O198" s="190" t="n">
        <x:f>K198*M198</x:f>
        <x:v>6107.692989294738</x:v>
      </x:c>
      <x:c r="P198" s="190" t="n">
        <x:f>L198*N198</x:f>
        <x:v>2293.9850242443363</x:v>
      </x:c>
      <x:c r="Q198" s="190" t="n">
        <x:f>O198+P198</x:f>
        <x:v>8401.678013539075</x:v>
      </x:c>
      <x:c r="R198" s="196" t="n">
        <x:f>J198-K198-L198</x:f>
        <x:v>0</x:v>
      </x:c>
    </x:row>
    <x:row r="199">
      <x:c r="A199" s="20" t="str">
        <x:v>慎重</x:v>
      </x:c>
      <x:c r="B199" s="20" t="n">
        <x:v>17</x:v>
      </x:c>
      <x:c r="C199" s="20" t="n">
        <x:v>3</x:v>
      </x:c>
      <x:c r="D199" s="189" t="n">
        <x:v>0.9</x:v>
      </x:c>
      <x:c r="E199" s="189" t="n">
        <x:v>1.1</x:v>
      </x:c>
      <x:c r="F199" s="189" t="n">
        <x:f>MAX(MIN('詳細設定'!$D$15+-0.05,1),0)</x:f>
        <x:v>0.35000000000000003</x:v>
      </x:c>
      <x:c r="G199" s="563" t="n">
        <x:f>'_計算月次'!$J$7</x:f>
        <x:v>548.3418864753118</x:v>
      </x:c>
      <x:c r="H199" s="563" t="n">
        <x:f>'_計算月次'!$K$7</x:f>
        <x:v>360</x:v>
      </x:c>
      <x:c r="I199" s="563" t="n">
        <x:f>(1-MAX(MIN('詳細設定'!$D$16,0.999999),0))^(B199-1)</x:f>
        <x:v>1</x:v>
      </x:c>
      <x:c r="J199" s="563" t="n">
        <x:f>MAX(G199*D199*I199,0)</x:f>
        <x:v>493.5076978277806</x:v>
      </x:c>
      <x:c r="K199" s="563" t="n">
        <x:f>MAX(MIN(J199*F199,H199),0)</x:f>
        <x:v>172.72769423972323</x:v>
      </x:c>
      <x:c r="L199" s="563" t="n">
        <x:f>MAX(J199-K199,0)</x:f>
        <x:v>320.78000358805735</x:v>
      </x:c>
      <x:c r="M199" s="185" t="n">
        <x:f>MAX('詳細設定'!$D$6,0)*(1+'詳細設定'!$D$21)^(B199-1)</x:f>
        <x:v>41.04025257232946</x:v>
      </x:c>
      <x:c r="N199" s="185" t="n">
        <x:f>IF(B199&lt;=MAX(MIN('詳細設定'!$D$8,20),0),MAX('詳細設定'!$D$7,0),IF(B199&lt;=MAX(MIN('詳細設定'!$D$10,20),0),MAX('詳細設定'!$D$9,0),MAX('詳細設定'!$D$11,0)))</x:f>
        <x:v>8.3</x:v>
      </x:c>
      <x:c r="O199" s="190" t="n">
        <x:f>K199*M199</x:f>
        <x:v>7088.788197834338</x:v>
      </x:c>
      <x:c r="P199" s="190" t="n">
        <x:f>L199*N199</x:f>
        <x:v>2662.474029780876</x:v>
      </x:c>
      <x:c r="Q199" s="190" t="n">
        <x:f>O199+P199</x:f>
        <x:v>9751.262227615214</x:v>
      </x:c>
      <x:c r="R199" s="196" t="n">
        <x:f>J199-K199-L199</x:f>
        <x:v>0</x:v>
      </x:c>
    </x:row>
    <x:row r="200">
      <x:c r="A200" s="20" t="str">
        <x:v>慎重</x:v>
      </x:c>
      <x:c r="B200" s="20" t="n">
        <x:v>17</x:v>
      </x:c>
      <x:c r="C200" s="20" t="n">
        <x:v>4</x:v>
      </x:c>
      <x:c r="D200" s="189" t="n">
        <x:v>0.9</x:v>
      </x:c>
      <x:c r="E200" s="189" t="n">
        <x:v>1.1</x:v>
      </x:c>
      <x:c r="F200" s="189" t="n">
        <x:f>MAX(MIN('詳細設定'!$D$15+-0.05,1),0)</x:f>
        <x:v>0.35000000000000003</x:v>
      </x:c>
      <x:c r="G200" s="563" t="n">
        <x:f>'_計算月次'!$J$8</x:f>
        <x:v>548.3944393749554</x:v>
      </x:c>
      <x:c r="H200" s="563" t="n">
        <x:f>'_計算月次'!$K$8</x:f>
        <x:v>315.00000000000006</x:v>
      </x:c>
      <x:c r="I200" s="563" t="n">
        <x:f>(1-MAX(MIN('詳細設定'!$D$16,0.999999),0))^(B200-1)</x:f>
        <x:v>1</x:v>
      </x:c>
      <x:c r="J200" s="563" t="n">
        <x:f>MAX(G200*D200*I200,0)</x:f>
        <x:v>493.55499543745987</x:v>
      </x:c>
      <x:c r="K200" s="563" t="n">
        <x:f>MAX(MIN(J200*F200,H200),0)</x:f>
        <x:v>172.74424840311096</x:v>
      </x:c>
      <x:c r="L200" s="563" t="n">
        <x:f>MAX(J200-K200,0)</x:f>
        <x:v>320.8107470343489</x:v>
      </x:c>
      <x:c r="M200" s="185" t="n">
        <x:f>MAX('詳細設定'!$D$6,0)*(1+'詳細設定'!$D$21)^(B200-1)</x:f>
        <x:v>41.04025257232946</x:v>
      </x:c>
      <x:c r="N200" s="185" t="n">
        <x:f>IF(B200&lt;=MAX(MIN('詳細設定'!$D$8,20),0),MAX('詳細設定'!$D$7,0),IF(B200&lt;=MAX(MIN('詳細設定'!$D$10,20),0),MAX('詳細設定'!$D$9,0),MAX('詳細設定'!$D$11,0)))</x:f>
        <x:v>8.3</x:v>
      </x:c>
      <x:c r="O200" s="190" t="n">
        <x:f>K200*M200</x:f>
        <x:v>7089.467584880893</x:v>
      </x:c>
      <x:c r="P200" s="190" t="n">
        <x:f>L200*N200</x:f>
        <x:v>2662.7292003850957</x:v>
      </x:c>
      <x:c r="Q200" s="190" t="n">
        <x:f>O200+P200</x:f>
        <x:v>9752.19678526599</x:v>
      </x:c>
      <x:c r="R200" s="196" t="n">
        <x:f>J200-K200-L200</x:f>
        <x:v>0</x:v>
      </x:c>
    </x:row>
    <x:row r="201">
      <x:c r="A201" s="20" t="str">
        <x:v>慎重</x:v>
      </x:c>
      <x:c r="B201" s="20" t="n">
        <x:v>17</x:v>
      </x:c>
      <x:c r="C201" s="20" t="n">
        <x:v>5</x:v>
      </x:c>
      <x:c r="D201" s="189" t="n">
        <x:v>0.9</x:v>
      </x:c>
      <x:c r="E201" s="189" t="n">
        <x:v>1.1</x:v>
      </x:c>
      <x:c r="F201" s="189" t="n">
        <x:f>MAX(MIN('詳細設定'!$D$15+-0.05,1),0)</x:f>
        <x:v>0.35000000000000003</x:v>
      </x:c>
      <x:c r="G201" s="563" t="n">
        <x:f>'_計算月次'!$J$9</x:f>
        <x:v>552.2367574934775</x:v>
      </x:c>
      <x:c r="H201" s="563" t="n">
        <x:f>'_計算月次'!$K$9</x:f>
        <x:v>315.00000000000006</x:v>
      </x:c>
      <x:c r="I201" s="563" t="n">
        <x:f>(1-MAX(MIN('詳細設定'!$D$16,0.999999),0))^(B201-1)</x:f>
        <x:v>1</x:v>
      </x:c>
      <x:c r="J201" s="563" t="n">
        <x:f>MAX(G201*D201*I201,0)</x:f>
        <x:v>497.01308174412975</x:v>
      </x:c>
      <x:c r="K201" s="563" t="n">
        <x:f>MAX(MIN(J201*F201,H201),0)</x:f>
        <x:v>173.95457861044542</x:v>
      </x:c>
      <x:c r="L201" s="563" t="n">
        <x:f>MAX(J201-K201,0)</x:f>
        <x:v>323.0585031336843</x:v>
      </x:c>
      <x:c r="M201" s="185" t="n">
        <x:f>MAX('詳細設定'!$D$6,0)*(1+'詳細設定'!$D$21)^(B201-1)</x:f>
        <x:v>41.04025257232946</x:v>
      </x:c>
      <x:c r="N201" s="185" t="n">
        <x:f>IF(B201&lt;=MAX(MIN('詳細設定'!$D$8,20),0),MAX('詳細設定'!$D$7,0),IF(B201&lt;=MAX(MIN('詳細設定'!$D$10,20),0),MAX('詳細設定'!$D$9,0),MAX('詳細設定'!$D$11,0)))</x:f>
        <x:v>8.3</x:v>
      </x:c>
      <x:c r="O201" s="190" t="n">
        <x:f>K201*M201</x:f>
        <x:v>7139.139842285819</x:v>
      </x:c>
      <x:c r="P201" s="190" t="n">
        <x:f>L201*N201</x:f>
        <x:v>2681.3855760095803</x:v>
      </x:c>
      <x:c r="Q201" s="190" t="n">
        <x:f>O201+P201</x:f>
        <x:v>9820.5254182954</x:v>
      </x:c>
      <x:c r="R201" s="196" t="n">
        <x:f>J201-K201-L201</x:f>
        <x:v>0</x:v>
      </x:c>
    </x:row>
    <x:row r="202">
      <x:c r="A202" s="20" t="str">
        <x:v>慎重</x:v>
      </x:c>
      <x:c r="B202" s="20" t="n">
        <x:v>17</x:v>
      </x:c>
      <x:c r="C202" s="20" t="n">
        <x:v>6</x:v>
      </x:c>
      <x:c r="D202" s="189" t="n">
        <x:v>0.9</x:v>
      </x:c>
      <x:c r="E202" s="189" t="n">
        <x:v>1.1</x:v>
      </x:c>
      <x:c r="F202" s="189" t="n">
        <x:f>MAX(MIN('詳細設定'!$D$15+-0.05,1),0)</x:f>
        <x:v>0.35000000000000003</x:v>
      </x:c>
      <x:c r="G202" s="563" t="n">
        <x:f>'_計算月次'!$J$10</x:f>
        <x:v>448.7994857612148</x:v>
      </x:c>
      <x:c r="H202" s="563" t="n">
        <x:f>'_計算月次'!$K$10</x:f>
        <x:v>360</x:v>
      </x:c>
      <x:c r="I202" s="563" t="n">
        <x:f>(1-MAX(MIN('詳細設定'!$D$16,0.999999),0))^(B202-1)</x:f>
        <x:v>1</x:v>
      </x:c>
      <x:c r="J202" s="563" t="n">
        <x:f>MAX(G202*D202*I202,0)</x:f>
        <x:v>403.9195371850933</x:v>
      </x:c>
      <x:c r="K202" s="563" t="n">
        <x:f>MAX(MIN(J202*F202,H202),0)</x:f>
        <x:v>141.37183801478267</x:v>
      </x:c>
      <x:c r="L202" s="563" t="n">
        <x:f>MAX(J202-K202,0)</x:f>
        <x:v>262.54769917031064</x:v>
      </x:c>
      <x:c r="M202" s="185" t="n">
        <x:f>MAX('詳細設定'!$D$6,0)*(1+'詳細設定'!$D$21)^(B202-1)</x:f>
        <x:v>41.04025257232946</x:v>
      </x:c>
      <x:c r="N202" s="185" t="n">
        <x:f>IF(B202&lt;=MAX(MIN('詳細設定'!$D$8,20),0),MAX('詳細設定'!$D$7,0),IF(B202&lt;=MAX(MIN('詳細設定'!$D$10,20),0),MAX('詳細設定'!$D$9,0),MAX('詳細設定'!$D$11,0)))</x:f>
        <x:v>8.3</x:v>
      </x:c>
      <x:c r="O202" s="190" t="n">
        <x:f>K202*M202</x:f>
        <x:v>5801.935938741128</x:v>
      </x:c>
      <x:c r="P202" s="190" t="n">
        <x:f>L202*N202</x:f>
        <x:v>2179.1459031135782</x:v>
      </x:c>
      <x:c r="Q202" s="190" t="n">
        <x:f>O202+P202</x:f>
        <x:v>7981.081841854706</x:v>
      </x:c>
      <x:c r="R202" s="196" t="n">
        <x:f>J202-K202-L202</x:f>
        <x:v>0</x:v>
      </x:c>
    </x:row>
    <x:row r="203">
      <x:c r="A203" s="20" t="str">
        <x:v>慎重</x:v>
      </x:c>
      <x:c r="B203" s="20" t="n">
        <x:v>17</x:v>
      </x:c>
      <x:c r="C203" s="20" t="n">
        <x:v>7</x:v>
      </x:c>
      <x:c r="D203" s="189" t="n">
        <x:v>0.9</x:v>
      </x:c>
      <x:c r="E203" s="189" t="n">
        <x:v>1.1</x:v>
      </x:c>
      <x:c r="F203" s="189" t="n">
        <x:f>MAX(MIN('詳細設定'!$D$15+-0.05,1),0)</x:f>
        <x:v>0.35000000000000003</x:v>
      </x:c>
      <x:c r="G203" s="563" t="n">
        <x:f>'_計算月次'!$J$11</x:f>
        <x:v>476.0181638067866</x:v>
      </x:c>
      <x:c r="H203" s="563" t="n">
        <x:f>'_計算月次'!$K$11</x:f>
        <x:v>405</x:v>
      </x:c>
      <x:c r="I203" s="563" t="n">
        <x:f>(1-MAX(MIN('詳細設定'!$D$16,0.999999),0))^(B203-1)</x:f>
        <x:v>1</x:v>
      </x:c>
      <x:c r="J203" s="563" t="n">
        <x:f>MAX(G203*D203*I203,0)</x:f>
        <x:v>428.41634742610796</x:v>
      </x:c>
      <x:c r="K203" s="563" t="n">
        <x:f>MAX(MIN(J203*F203,H203),0)</x:f>
        <x:v>149.9457215991378</x:v>
      </x:c>
      <x:c r="L203" s="563" t="n">
        <x:f>MAX(J203-K203,0)</x:f>
        <x:v>278.47062582697015</x:v>
      </x:c>
      <x:c r="M203" s="185" t="n">
        <x:f>MAX('詳細設定'!$D$6,0)*(1+'詳細設定'!$D$21)^(B203-1)</x:f>
        <x:v>41.04025257232946</x:v>
      </x:c>
      <x:c r="N203" s="185" t="n">
        <x:f>IF(B203&lt;=MAX(MIN('詳細設定'!$D$8,20),0),MAX('詳細設定'!$D$7,0),IF(B203&lt;=MAX(MIN('詳細設定'!$D$10,20),0),MAX('詳細設定'!$D$9,0),MAX('詳細設定'!$D$11,0)))</x:f>
        <x:v>8.3</x:v>
      </x:c>
      <x:c r="O203" s="190" t="n">
        <x:f>K203*M203</x:f>
        <x:v>6153.810286568812</x:v>
      </x:c>
      <x:c r="P203" s="190" t="n">
        <x:f>L203*N203</x:f>
        <x:v>2311.3061943638522</x:v>
      </x:c>
      <x:c r="Q203" s="190" t="n">
        <x:f>O203+P203</x:f>
        <x:v>8465.116480932666</x:v>
      </x:c>
      <x:c r="R203" s="196" t="n">
        <x:f>J203-K203-L203</x:f>
        <x:v>0</x:v>
      </x:c>
    </x:row>
    <x:row r="204">
      <x:c r="A204" s="20" t="str">
        <x:v>慎重</x:v>
      </x:c>
      <x:c r="B204" s="20" t="n">
        <x:v>17</x:v>
      </x:c>
      <x:c r="C204" s="20" t="n">
        <x:v>8</x:v>
      </x:c>
      <x:c r="D204" s="189" t="n">
        <x:v>0.9</x:v>
      </x:c>
      <x:c r="E204" s="189" t="n">
        <x:v>1.1</x:v>
      </x:c>
      <x:c r="F204" s="189" t="n">
        <x:f>MAX(MIN('詳細設定'!$D$15+-0.05,1),0)</x:f>
        <x:v>0.35000000000000003</x:v>
      </x:c>
      <x:c r="G204" s="563" t="n">
        <x:f>'_計算月次'!$J$12</x:f>
        <x:v>528.6548067323699</x:v>
      </x:c>
      <x:c r="H204" s="563" t="n">
        <x:f>'_計算月次'!$K$12</x:f>
        <x:v>450</x:v>
      </x:c>
      <x:c r="I204" s="563" t="n">
        <x:f>(1-MAX(MIN('詳細設定'!$D$16,0.999999),0))^(B204-1)</x:f>
        <x:v>1</x:v>
      </x:c>
      <x:c r="J204" s="563" t="n">
        <x:f>MAX(G204*D204*I204,0)</x:f>
        <x:v>475.789326059133</x:v>
      </x:c>
      <x:c r="K204" s="563" t="n">
        <x:f>MAX(MIN(J204*F204,H204),0)</x:f>
        <x:v>166.52626412069657</x:v>
      </x:c>
      <x:c r="L204" s="563" t="n">
        <x:f>MAX(J204-K204,0)</x:f>
        <x:v>309.2630619384364</x:v>
      </x:c>
      <x:c r="M204" s="185" t="n">
        <x:f>MAX('詳細設定'!$D$6,0)*(1+'詳細設定'!$D$21)^(B204-1)</x:f>
        <x:v>41.04025257232946</x:v>
      </x:c>
      <x:c r="N204" s="185" t="n">
        <x:f>IF(B204&lt;=MAX(MIN('詳細設定'!$D$8,20),0),MAX('詳細設定'!$D$7,0),IF(B204&lt;=MAX(MIN('詳細設定'!$D$10,20),0),MAX('詳細設定'!$D$9,0),MAX('詳細設定'!$D$11,0)))</x:f>
        <x:v>8.3</x:v>
      </x:c>
      <x:c r="O204" s="190" t="n">
        <x:f>K204*M204</x:f>
        <x:v>6834.279939439832</x:v>
      </x:c>
      <x:c r="P204" s="190" t="n">
        <x:f>L204*N204</x:f>
        <x:v>2566.8834140890226</x:v>
      </x:c>
      <x:c r="Q204" s="190" t="n">
        <x:f>O204+P204</x:f>
        <x:v>9401.163353528855</x:v>
      </x:c>
      <x:c r="R204" s="196" t="n">
        <x:f>J204-K204-L204</x:f>
        <x:v>0</x:v>
      </x:c>
    </x:row>
    <x:row r="205">
      <x:c r="A205" s="20" t="str">
        <x:v>慎重</x:v>
      </x:c>
      <x:c r="B205" s="20" t="n">
        <x:v>17</x:v>
      </x:c>
      <x:c r="C205" s="20" t="n">
        <x:v>9</x:v>
      </x:c>
      <x:c r="D205" s="189" t="n">
        <x:v>0.9</x:v>
      </x:c>
      <x:c r="E205" s="189" t="n">
        <x:v>1.1</x:v>
      </x:c>
      <x:c r="F205" s="189" t="n">
        <x:f>MAX(MIN('詳細設定'!$D$15+-0.05,1),0)</x:f>
        <x:v>0.35000000000000003</x:v>
      </x:c>
      <x:c r="G205" s="563" t="n">
        <x:f>'_計算月次'!$J$13</x:f>
        <x:v>436.37734765103465</x:v>
      </x:c>
      <x:c r="H205" s="563" t="n">
        <x:f>'_計算月次'!$K$13</x:f>
        <x:v>360</x:v>
      </x:c>
      <x:c r="I205" s="563" t="n">
        <x:f>(1-MAX(MIN('詳細設定'!$D$16,0.999999),0))^(B205-1)</x:f>
        <x:v>1</x:v>
      </x:c>
      <x:c r="J205" s="563" t="n">
        <x:f>MAX(G205*D205*I205,0)</x:f>
        <x:v>392.7396128859312</x:v>
      </x:c>
      <x:c r="K205" s="563" t="n">
        <x:f>MAX(MIN(J205*F205,H205),0)</x:f>
        <x:v>137.45886451007593</x:v>
      </x:c>
      <x:c r="L205" s="563" t="n">
        <x:f>MAX(J205-K205,0)</x:f>
        <x:v>255.28074837585527</x:v>
      </x:c>
      <x:c r="M205" s="185" t="n">
        <x:f>MAX('詳細設定'!$D$6,0)*(1+'詳細設定'!$D$21)^(B205-1)</x:f>
        <x:v>41.04025257232946</x:v>
      </x:c>
      <x:c r="N205" s="185" t="n">
        <x:f>IF(B205&lt;=MAX(MIN('詳細設定'!$D$8,20),0),MAX('詳細設定'!$D$7,0),IF(B205&lt;=MAX(MIN('詳細設定'!$D$10,20),0),MAX('詳細設定'!$D$9,0),MAX('詳細設定'!$D$11,0)))</x:f>
        <x:v>8.3</x:v>
      </x:c>
      <x:c r="O205" s="190" t="n">
        <x:f>K205*M205</x:f>
        <x:v>5641.34651779913</x:v>
      </x:c>
      <x:c r="P205" s="190" t="n">
        <x:f>L205*N205</x:f>
        <x:v>2118.830211519599</x:v>
      </x:c>
      <x:c r="Q205" s="190" t="n">
        <x:f>O205+P205</x:f>
        <x:v>7760.1767293187295</x:v>
      </x:c>
      <x:c r="R205" s="196" t="n">
        <x:f>J205-K205-L205</x:f>
        <x:v>0</x:v>
      </x:c>
    </x:row>
    <x:row r="206">
      <x:c r="A206" s="20" t="str">
        <x:v>慎重</x:v>
      </x:c>
      <x:c r="B206" s="20" t="n">
        <x:v>17</x:v>
      </x:c>
      <x:c r="C206" s="20" t="n">
        <x:v>10</x:v>
      </x:c>
      <x:c r="D206" s="189" t="n">
        <x:v>0.9</x:v>
      </x:c>
      <x:c r="E206" s="189" t="n">
        <x:v>1.1</x:v>
      </x:c>
      <x:c r="F206" s="189" t="n">
        <x:f>MAX(MIN('詳細設定'!$D$15+-0.05,1),0)</x:f>
        <x:v>0.35000000000000003</x:v>
      </x:c>
      <x:c r="G206" s="563" t="n">
        <x:f>'_計算月次'!$J$14</x:f>
        <x:v>408.8269849869007</x:v>
      </x:c>
      <x:c r="H206" s="563" t="n">
        <x:f>'_計算月次'!$K$14</x:f>
        <x:v>315.00000000000006</x:v>
      </x:c>
      <x:c r="I206" s="563" t="n">
        <x:f>(1-MAX(MIN('詳細設定'!$D$16,0.999999),0))^(B206-1)</x:f>
        <x:v>1</x:v>
      </x:c>
      <x:c r="J206" s="563" t="n">
        <x:f>MAX(G206*D206*I206,0)</x:f>
        <x:v>367.94428648821065</x:v>
      </x:c>
      <x:c r="K206" s="563" t="n">
        <x:f>MAX(MIN(J206*F206,H206),0)</x:f>
        <x:v>128.78050027087374</x:v>
      </x:c>
      <x:c r="L206" s="563" t="n">
        <x:f>MAX(J206-K206,0)</x:f>
        <x:v>239.1637862173369</x:v>
      </x:c>
      <x:c r="M206" s="185" t="n">
        <x:f>MAX('詳細設定'!$D$6,0)*(1+'詳細設定'!$D$21)^(B206-1)</x:f>
        <x:v>41.04025257232946</x:v>
      </x:c>
      <x:c r="N206" s="185" t="n">
        <x:f>IF(B206&lt;=MAX(MIN('詳細設定'!$D$8,20),0),MAX('詳細設定'!$D$7,0),IF(B206&lt;=MAX(MIN('詳細設定'!$D$10,20),0),MAX('詳細設定'!$D$9,0),MAX('詳細設定'!$D$11,0)))</x:f>
        <x:v>8.3</x:v>
      </x:c>
      <x:c r="O206" s="190" t="n">
        <x:f>K206*M206</x:f>
        <x:v>5285.184257507601</x:v>
      </x:c>
      <x:c r="P206" s="190" t="n">
        <x:f>L206*N206</x:f>
        <x:v>1985.0594256038964</x:v>
      </x:c>
      <x:c r="Q206" s="190" t="n">
        <x:f>O206+P206</x:f>
        <x:v>7270.243683111497</x:v>
      </x:c>
      <x:c r="R206" s="196" t="n">
        <x:f>J206-K206-L206</x:f>
        <x:v>0</x:v>
      </x:c>
    </x:row>
    <x:row r="207">
      <x:c r="A207" s="20" t="str">
        <x:v>慎重</x:v>
      </x:c>
      <x:c r="B207" s="20" t="n">
        <x:v>17</x:v>
      </x:c>
      <x:c r="C207" s="20" t="n">
        <x:v>11</x:v>
      </x:c>
      <x:c r="D207" s="189" t="n">
        <x:v>0.9</x:v>
      </x:c>
      <x:c r="E207" s="189" t="n">
        <x:v>1.1</x:v>
      </x:c>
      <x:c r="F207" s="189" t="n">
        <x:f>MAX(MIN('詳細設定'!$D$15+-0.05,1),0)</x:f>
        <x:v>0.35000000000000003</x:v>
      </x:c>
      <x:c r="G207" s="563" t="n">
        <x:f>'_計算月次'!$J$15</x:f>
        <x:v>398.45169764745054</x:v>
      </x:c>
      <x:c r="H207" s="563" t="n">
        <x:f>'_計算月次'!$K$15</x:f>
        <x:v>360</x:v>
      </x:c>
      <x:c r="I207" s="563" t="n">
        <x:f>(1-MAX(MIN('詳細設定'!$D$16,0.999999),0))^(B207-1)</x:f>
        <x:v>1</x:v>
      </x:c>
      <x:c r="J207" s="563" t="n">
        <x:f>MAX(G207*D207*I207,0)</x:f>
        <x:v>358.6065278827055</x:v>
      </x:c>
      <x:c r="K207" s="563" t="n">
        <x:f>MAX(MIN(J207*F207,H207),0)</x:f>
        <x:v>125.51228475894693</x:v>
      </x:c>
      <x:c r="L207" s="563" t="n">
        <x:f>MAX(J207-K207,0)</x:f>
        <x:v>233.0942431237586</x:v>
      </x:c>
      <x:c r="M207" s="185" t="n">
        <x:f>MAX('詳細設定'!$D$6,0)*(1+'詳細設定'!$D$21)^(B207-1)</x:f>
        <x:v>41.04025257232946</x:v>
      </x:c>
      <x:c r="N207" s="185" t="n">
        <x:f>IF(B207&lt;=MAX(MIN('詳細設定'!$D$8,20),0),MAX('詳細設定'!$D$7,0),IF(B207&lt;=MAX(MIN('詳細設定'!$D$10,20),0),MAX('詳細設定'!$D$9,0),MAX('詳細設定'!$D$11,0)))</x:f>
        <x:v>8.3</x:v>
      </x:c>
      <x:c r="O207" s="190" t="n">
        <x:f>K207*M207</x:f>
        <x:v>5151.05586743732</x:v>
      </x:c>
      <x:c r="P207" s="190" t="n">
        <x:f>L207*N207</x:f>
        <x:v>1934.6822179271965</x:v>
      </x:c>
      <x:c r="Q207" s="190" t="n">
        <x:f>O207+P207</x:f>
        <x:v>7085.738085364516</x:v>
      </x:c>
      <x:c r="R207" s="196" t="n">
        <x:f>J207-K207-L207</x:f>
        <x:v>0</x:v>
      </x:c>
    </x:row>
    <x:row r="208">
      <x:c r="A208" s="20" t="str">
        <x:v>慎重</x:v>
      </x:c>
      <x:c r="B208" s="20" t="n">
        <x:v>17</x:v>
      </x:c>
      <x:c r="C208" s="20" t="n">
        <x:v>12</x:v>
      </x:c>
      <x:c r="D208" s="189" t="n">
        <x:v>0.9</x:v>
      </x:c>
      <x:c r="E208" s="189" t="n">
        <x:v>1.1</x:v>
      </x:c>
      <x:c r="F208" s="189" t="n">
        <x:f>MAX(MIN('詳細設定'!$D$15+-0.05,1),0)</x:f>
        <x:v>0.35000000000000003</x:v>
      </x:c>
      <x:c r="G208" s="563" t="n">
        <x:f>'_計算月次'!$J$16</x:f>
        <x:v>443.97248688000184</x:v>
      </x:c>
      <x:c r="H208" s="563" t="n">
        <x:f>'_計算月次'!$K$16</x:f>
        <x:v>405</x:v>
      </x:c>
      <x:c r="I208" s="563" t="n">
        <x:f>(1-MAX(MIN('詳細設定'!$D$16,0.999999),0))^(B208-1)</x:f>
        <x:v>1</x:v>
      </x:c>
      <x:c r="J208" s="563" t="n">
        <x:f>MAX(G208*D208*I208,0)</x:f>
        <x:v>399.5752381920017</x:v>
      </x:c>
      <x:c r="K208" s="563" t="n">
        <x:f>MAX(MIN(J208*F208,H208),0)</x:f>
        <x:v>139.8513333672006</x:v>
      </x:c>
      <x:c r="L208" s="563" t="n">
        <x:f>MAX(J208-K208,0)</x:f>
        <x:v>259.7239048248011</x:v>
      </x:c>
      <x:c r="M208" s="185" t="n">
        <x:f>MAX('詳細設定'!$D$6,0)*(1+'詳細設定'!$D$21)^(B208-1)</x:f>
        <x:v>41.04025257232946</x:v>
      </x:c>
      <x:c r="N208" s="185" t="n">
        <x:f>IF(B208&lt;=MAX(MIN('詳細設定'!$D$8,20),0),MAX('詳細設定'!$D$7,0),IF(B208&lt;=MAX(MIN('詳細設定'!$D$10,20),0),MAX('詳細設定'!$D$9,0),MAX('詳細設定'!$D$11,0)))</x:f>
        <x:v>8.3</x:v>
      </x:c>
      <x:c r="O208" s="190" t="n">
        <x:f>K208*M208</x:f>
        <x:v>5739.534043966959</x:v>
      </x:c>
      <x:c r="P208" s="190" t="n">
        <x:f>L208*N208</x:f>
        <x:v>2155.708410045849</x:v>
      </x:c>
      <x:c r="Q208" s="190" t="n">
        <x:f>O208+P208</x:f>
        <x:v>7895.242454012809</x:v>
      </x:c>
      <x:c r="R208" s="196" t="n">
        <x:f>J208-K208-L208</x:f>
        <x:v>0</x:v>
      </x:c>
    </x:row>
    <x:row r="209">
      <x:c r="A209" s="20" t="str">
        <x:v>慎重</x:v>
      </x:c>
      <x:c r="B209" s="20" t="n">
        <x:v>18</x:v>
      </x:c>
      <x:c r="C209" s="20" t="n">
        <x:v>1</x:v>
      </x:c>
      <x:c r="D209" s="189" t="n">
        <x:v>0.9</x:v>
      </x:c>
      <x:c r="E209" s="189" t="n">
        <x:v>1.1</x:v>
      </x:c>
      <x:c r="F209" s="189" t="n">
        <x:f>MAX(MIN('詳細設定'!$D$15+-0.05,1),0)</x:f>
        <x:v>0.35000000000000003</x:v>
      </x:c>
      <x:c r="G209" s="563" t="n">
        <x:f>'_計算月次'!$J$5</x:f>
        <x:v>502.4147595742038</x:v>
      </x:c>
      <x:c r="H209" s="563" t="n">
        <x:f>'_計算月次'!$K$5</x:f>
        <x:v>450</x:v>
      </x:c>
      <x:c r="I209" s="563" t="n">
        <x:f>(1-MAX(MIN('詳細設定'!$D$16,0.999999),0))^(B209-1)</x:f>
        <x:v>1</x:v>
      </x:c>
      <x:c r="J209" s="563" t="n">
        <x:f>MAX(G209*D209*I209,0)</x:f>
        <x:v>452.1732836167834</x:v>
      </x:c>
      <x:c r="K209" s="563" t="n">
        <x:f>MAX(MIN(J209*F209,H209),0)</x:f>
        <x:v>158.2606492658742</x:v>
      </x:c>
      <x:c r="L209" s="563" t="n">
        <x:f>MAX(J209-K209,0)</x:f>
        <x:v>293.91263435090923</x:v>
      </x:c>
      <x:c r="M209" s="185" t="n">
        <x:f>MAX('詳細設定'!$D$6,0)*(1+'詳細設定'!$D$21)^(B209-1)</x:f>
        <x:v>41.45065509805275</x:v>
      </x:c>
      <x:c r="N209" s="185" t="n">
        <x:f>IF(B209&lt;=MAX(MIN('詳細設定'!$D$8,20),0),MAX('詳細設定'!$D$7,0),IF(B209&lt;=MAX(MIN('詳細設定'!$D$10,20),0),MAX('詳細設定'!$D$9,0),MAX('詳細設定'!$D$11,0)))</x:f>
        <x:v>8.3</x:v>
      </x:c>
      <x:c r="O209" s="190" t="n">
        <x:f>K209*M209</x:f>
        <x:v>6560.007588313647</x:v>
      </x:c>
      <x:c r="P209" s="190" t="n">
        <x:f>L209*N209</x:f>
        <x:v>2439.474865112547</x:v>
      </x:c>
      <x:c r="Q209" s="190" t="n">
        <x:f>O209+P209</x:f>
        <x:v>8999.482453426193</x:v>
      </x:c>
      <x:c r="R209" s="196" t="n">
        <x:f>J209-K209-L209</x:f>
        <x:v>0</x:v>
      </x:c>
    </x:row>
    <x:row r="210">
      <x:c r="A210" s="20" t="str">
        <x:v>慎重</x:v>
      </x:c>
      <x:c r="B210" s="20" t="n">
        <x:v>18</x:v>
      </x:c>
      <x:c r="C210" s="20" t="n">
        <x:v>2</x:v>
      </x:c>
      <x:c r="D210" s="189" t="n">
        <x:v>0.9</x:v>
      </x:c>
      <x:c r="E210" s="189" t="n">
        <x:v>1.1</x:v>
      </x:c>
      <x:c r="F210" s="189" t="n">
        <x:f>MAX(MIN('詳細設定'!$D$15+-0.05,1),0)</x:f>
        <x:v>0.35000000000000003</x:v>
      </x:c>
      <x:c r="G210" s="563" t="n">
        <x:f>'_計算月次'!$J$6</x:f>
        <x:v>472.4508339500229</x:v>
      </x:c>
      <x:c r="H210" s="563" t="n">
        <x:f>'_計算月次'!$K$6</x:f>
        <x:v>405</x:v>
      </x:c>
      <x:c r="I210" s="563" t="n">
        <x:f>(1-MAX(MIN('詳細設定'!$D$16,0.999999),0))^(B210-1)</x:f>
        <x:v>1</x:v>
      </x:c>
      <x:c r="J210" s="563" t="n">
        <x:f>MAX(G210*D210*I210,0)</x:f>
        <x:v>425.20575055502064</x:v>
      </x:c>
      <x:c r="K210" s="563" t="n">
        <x:f>MAX(MIN(J210*F210,H210),0)</x:f>
        <x:v>148.82201269425724</x:v>
      </x:c>
      <x:c r="L210" s="563" t="n">
        <x:f>MAX(J210-K210,0)</x:f>
        <x:v>276.3837378607634</x:v>
      </x:c>
      <x:c r="M210" s="185" t="n">
        <x:f>MAX('詳細設定'!$D$6,0)*(1+'詳細設定'!$D$21)^(B210-1)</x:f>
        <x:v>41.45065509805275</x:v>
      </x:c>
      <x:c r="N210" s="185" t="n">
        <x:f>IF(B210&lt;=MAX(MIN('詳細設定'!$D$8,20),0),MAX('詳細設定'!$D$7,0),IF(B210&lt;=MAX(MIN('詳細設定'!$D$10,20),0),MAX('詳細設定'!$D$9,0),MAX('詳細設定'!$D$11,0)))</x:f>
        <x:v>8.3</x:v>
      </x:c>
      <x:c r="O210" s="190" t="n">
        <x:f>K210*M210</x:f>
        <x:v>6168.7699191876845</x:v>
      </x:c>
      <x:c r="P210" s="190" t="n">
        <x:f>L210*N210</x:f>
        <x:v>2293.9850242443363</x:v>
      </x:c>
      <x:c r="Q210" s="190" t="n">
        <x:f>O210+P210</x:f>
        <x:v>8462.75494343202</x:v>
      </x:c>
      <x:c r="R210" s="196" t="n">
        <x:f>J210-K210-L210</x:f>
        <x:v>0</x:v>
      </x:c>
    </x:row>
    <x:row r="211">
      <x:c r="A211" s="20" t="str">
        <x:v>慎重</x:v>
      </x:c>
      <x:c r="B211" s="20" t="n">
        <x:v>18</x:v>
      </x:c>
      <x:c r="C211" s="20" t="n">
        <x:v>3</x:v>
      </x:c>
      <x:c r="D211" s="189" t="n">
        <x:v>0.9</x:v>
      </x:c>
      <x:c r="E211" s="189" t="n">
        <x:v>1.1</x:v>
      </x:c>
      <x:c r="F211" s="189" t="n">
        <x:f>MAX(MIN('詳細設定'!$D$15+-0.05,1),0)</x:f>
        <x:v>0.35000000000000003</x:v>
      </x:c>
      <x:c r="G211" s="563" t="n">
        <x:f>'_計算月次'!$J$7</x:f>
        <x:v>548.3418864753118</x:v>
      </x:c>
      <x:c r="H211" s="563" t="n">
        <x:f>'_計算月次'!$K$7</x:f>
        <x:v>360</x:v>
      </x:c>
      <x:c r="I211" s="563" t="n">
        <x:f>(1-MAX(MIN('詳細設定'!$D$16,0.999999),0))^(B211-1)</x:f>
        <x:v>1</x:v>
      </x:c>
      <x:c r="J211" s="563" t="n">
        <x:f>MAX(G211*D211*I211,0)</x:f>
        <x:v>493.5076978277806</x:v>
      </x:c>
      <x:c r="K211" s="563" t="n">
        <x:f>MAX(MIN(J211*F211,H211),0)</x:f>
        <x:v>172.72769423972323</x:v>
      </x:c>
      <x:c r="L211" s="563" t="n">
        <x:f>MAX(J211-K211,0)</x:f>
        <x:v>320.78000358805735</x:v>
      </x:c>
      <x:c r="M211" s="185" t="n">
        <x:f>MAX('詳細設定'!$D$6,0)*(1+'詳細設定'!$D$21)^(B211-1)</x:f>
        <x:v>41.45065509805275</x:v>
      </x:c>
      <x:c r="N211" s="185" t="n">
        <x:f>IF(B211&lt;=MAX(MIN('詳細設定'!$D$8,20),0),MAX('詳細設定'!$D$7,0),IF(B211&lt;=MAX(MIN('詳細設定'!$D$10,20),0),MAX('詳細設定'!$D$9,0),MAX('詳細設定'!$D$11,0)))</x:f>
        <x:v>8.3</x:v>
      </x:c>
      <x:c r="O211" s="190" t="n">
        <x:f>K211*M211</x:f>
        <x:v>7159.676079812681</x:v>
      </x:c>
      <x:c r="P211" s="190" t="n">
        <x:f>L211*N211</x:f>
        <x:v>2662.474029780876</x:v>
      </x:c>
      <x:c r="Q211" s="190" t="n">
        <x:f>O211+P211</x:f>
        <x:v>9822.150109593556</x:v>
      </x:c>
      <x:c r="R211" s="196" t="n">
        <x:f>J211-K211-L211</x:f>
        <x:v>0</x:v>
      </x:c>
    </x:row>
    <x:row r="212">
      <x:c r="A212" s="20" t="str">
        <x:v>慎重</x:v>
      </x:c>
      <x:c r="B212" s="20" t="n">
        <x:v>18</x:v>
      </x:c>
      <x:c r="C212" s="20" t="n">
        <x:v>4</x:v>
      </x:c>
      <x:c r="D212" s="189" t="n">
        <x:v>0.9</x:v>
      </x:c>
      <x:c r="E212" s="189" t="n">
        <x:v>1.1</x:v>
      </x:c>
      <x:c r="F212" s="189" t="n">
        <x:f>MAX(MIN('詳細設定'!$D$15+-0.05,1),0)</x:f>
        <x:v>0.35000000000000003</x:v>
      </x:c>
      <x:c r="G212" s="563" t="n">
        <x:f>'_計算月次'!$J$8</x:f>
        <x:v>548.3944393749554</x:v>
      </x:c>
      <x:c r="H212" s="563" t="n">
        <x:f>'_計算月次'!$K$8</x:f>
        <x:v>315.00000000000006</x:v>
      </x:c>
      <x:c r="I212" s="563" t="n">
        <x:f>(1-MAX(MIN('詳細設定'!$D$16,0.999999),0))^(B212-1)</x:f>
        <x:v>1</x:v>
      </x:c>
      <x:c r="J212" s="563" t="n">
        <x:f>MAX(G212*D212*I212,0)</x:f>
        <x:v>493.55499543745987</x:v>
      </x:c>
      <x:c r="K212" s="563" t="n">
        <x:f>MAX(MIN(J212*F212,H212),0)</x:f>
        <x:v>172.74424840311096</x:v>
      </x:c>
      <x:c r="L212" s="563" t="n">
        <x:f>MAX(J212-K212,0)</x:f>
        <x:v>320.8107470343489</x:v>
      </x:c>
      <x:c r="M212" s="185" t="n">
        <x:f>MAX('詳細設定'!$D$6,0)*(1+'詳細設定'!$D$21)^(B212-1)</x:f>
        <x:v>41.45065509805275</x:v>
      </x:c>
      <x:c r="N212" s="185" t="n">
        <x:f>IF(B212&lt;=MAX(MIN('詳細設定'!$D$8,20),0),MAX('詳細設定'!$D$7,0),IF(B212&lt;=MAX(MIN('詳細設定'!$D$10,20),0),MAX('詳細設定'!$D$9,0),MAX('詳細設定'!$D$11,0)))</x:f>
        <x:v>8.3</x:v>
      </x:c>
      <x:c r="O212" s="190" t="n">
        <x:f>K212*M212</x:f>
        <x:v>7160.362260729702</x:v>
      </x:c>
      <x:c r="P212" s="190" t="n">
        <x:f>L212*N212</x:f>
        <x:v>2662.7292003850957</x:v>
      </x:c>
      <x:c r="Q212" s="190" t="n">
        <x:f>O212+P212</x:f>
        <x:v>9823.091461114798</x:v>
      </x:c>
      <x:c r="R212" s="196" t="n">
        <x:f>J212-K212-L212</x:f>
        <x:v>0</x:v>
      </x:c>
    </x:row>
    <x:row r="213">
      <x:c r="A213" s="20" t="str">
        <x:v>慎重</x:v>
      </x:c>
      <x:c r="B213" s="20" t="n">
        <x:v>18</x:v>
      </x:c>
      <x:c r="C213" s="20" t="n">
        <x:v>5</x:v>
      </x:c>
      <x:c r="D213" s="189" t="n">
        <x:v>0.9</x:v>
      </x:c>
      <x:c r="E213" s="189" t="n">
        <x:v>1.1</x:v>
      </x:c>
      <x:c r="F213" s="189" t="n">
        <x:f>MAX(MIN('詳細設定'!$D$15+-0.05,1),0)</x:f>
        <x:v>0.35000000000000003</x:v>
      </x:c>
      <x:c r="G213" s="563" t="n">
        <x:f>'_計算月次'!$J$9</x:f>
        <x:v>552.2367574934775</x:v>
      </x:c>
      <x:c r="H213" s="563" t="n">
        <x:f>'_計算月次'!$K$9</x:f>
        <x:v>315.00000000000006</x:v>
      </x:c>
      <x:c r="I213" s="563" t="n">
        <x:f>(1-MAX(MIN('詳細設定'!$D$16,0.999999),0))^(B213-1)</x:f>
        <x:v>1</x:v>
      </x:c>
      <x:c r="J213" s="563" t="n">
        <x:f>MAX(G213*D213*I213,0)</x:f>
        <x:v>497.01308174412975</x:v>
      </x:c>
      <x:c r="K213" s="563" t="n">
        <x:f>MAX(MIN(J213*F213,H213),0)</x:f>
        <x:v>173.95457861044542</x:v>
      </x:c>
      <x:c r="L213" s="563" t="n">
        <x:f>MAX(J213-K213,0)</x:f>
        <x:v>323.0585031336843</x:v>
      </x:c>
      <x:c r="M213" s="185" t="n">
        <x:f>MAX('詳細設定'!$D$6,0)*(1+'詳細設定'!$D$21)^(B213-1)</x:f>
        <x:v>41.45065509805275</x:v>
      </x:c>
      <x:c r="N213" s="185" t="n">
        <x:f>IF(B213&lt;=MAX(MIN('詳細設定'!$D$8,20),0),MAX('詳細設定'!$D$7,0),IF(B213&lt;=MAX(MIN('詳細設定'!$D$10,20),0),MAX('詳細設定'!$D$9,0),MAX('詳細設定'!$D$11,0)))</x:f>
        <x:v>8.3</x:v>
      </x:c>
      <x:c r="O213" s="190" t="n">
        <x:f>K213*M213</x:f>
        <x:v>7210.531240708678</x:v>
      </x:c>
      <x:c r="P213" s="190" t="n">
        <x:f>L213*N213</x:f>
        <x:v>2681.3855760095803</x:v>
      </x:c>
      <x:c r="Q213" s="190" t="n">
        <x:f>O213+P213</x:f>
        <x:v>9891.916816718258</x:v>
      </x:c>
      <x:c r="R213" s="196" t="n">
        <x:f>J213-K213-L213</x:f>
        <x:v>0</x:v>
      </x:c>
    </x:row>
    <x:row r="214">
      <x:c r="A214" s="20" t="str">
        <x:v>慎重</x:v>
      </x:c>
      <x:c r="B214" s="20" t="n">
        <x:v>18</x:v>
      </x:c>
      <x:c r="C214" s="20" t="n">
        <x:v>6</x:v>
      </x:c>
      <x:c r="D214" s="189" t="n">
        <x:v>0.9</x:v>
      </x:c>
      <x:c r="E214" s="189" t="n">
        <x:v>1.1</x:v>
      </x:c>
      <x:c r="F214" s="189" t="n">
        <x:f>MAX(MIN('詳細設定'!$D$15+-0.05,1),0)</x:f>
        <x:v>0.35000000000000003</x:v>
      </x:c>
      <x:c r="G214" s="563" t="n">
        <x:f>'_計算月次'!$J$10</x:f>
        <x:v>448.7994857612148</x:v>
      </x:c>
      <x:c r="H214" s="563" t="n">
        <x:f>'_計算月次'!$K$10</x:f>
        <x:v>360</x:v>
      </x:c>
      <x:c r="I214" s="563" t="n">
        <x:f>(1-MAX(MIN('詳細設定'!$D$16,0.999999),0))^(B214-1)</x:f>
        <x:v>1</x:v>
      </x:c>
      <x:c r="J214" s="563" t="n">
        <x:f>MAX(G214*D214*I214,0)</x:f>
        <x:v>403.9195371850933</x:v>
      </x:c>
      <x:c r="K214" s="563" t="n">
        <x:f>MAX(MIN(J214*F214,H214),0)</x:f>
        <x:v>141.37183801478267</x:v>
      </x:c>
      <x:c r="L214" s="563" t="n">
        <x:f>MAX(J214-K214,0)</x:f>
        <x:v>262.54769917031064</x:v>
      </x:c>
      <x:c r="M214" s="185" t="n">
        <x:f>MAX('詳細設定'!$D$6,0)*(1+'詳細設定'!$D$21)^(B214-1)</x:f>
        <x:v>41.45065509805275</x:v>
      </x:c>
      <x:c r="N214" s="185" t="n">
        <x:f>IF(B214&lt;=MAX(MIN('詳細設定'!$D$8,20),0),MAX('詳細設定'!$D$7,0),IF(B214&lt;=MAX(MIN('詳細設定'!$D$10,20),0),MAX('詳細設定'!$D$9,0),MAX('詳細設定'!$D$11,0)))</x:f>
        <x:v>8.3</x:v>
      </x:c>
      <x:c r="O214" s="190" t="n">
        <x:f>K214*M214</x:f>
        <x:v>5859.955298128539</x:v>
      </x:c>
      <x:c r="P214" s="190" t="n">
        <x:f>L214*N214</x:f>
        <x:v>2179.1459031135782</x:v>
      </x:c>
      <x:c r="Q214" s="190" t="n">
        <x:f>O214+P214</x:f>
        <x:v>8039.101201242117</x:v>
      </x:c>
      <x:c r="R214" s="196" t="n">
        <x:f>J214-K214-L214</x:f>
        <x:v>0</x:v>
      </x:c>
    </x:row>
    <x:row r="215">
      <x:c r="A215" s="20" t="str">
        <x:v>慎重</x:v>
      </x:c>
      <x:c r="B215" s="20" t="n">
        <x:v>18</x:v>
      </x:c>
      <x:c r="C215" s="20" t="n">
        <x:v>7</x:v>
      </x:c>
      <x:c r="D215" s="189" t="n">
        <x:v>0.9</x:v>
      </x:c>
      <x:c r="E215" s="189" t="n">
        <x:v>1.1</x:v>
      </x:c>
      <x:c r="F215" s="189" t="n">
        <x:f>MAX(MIN('詳細設定'!$D$15+-0.05,1),0)</x:f>
        <x:v>0.35000000000000003</x:v>
      </x:c>
      <x:c r="G215" s="563" t="n">
        <x:f>'_計算月次'!$J$11</x:f>
        <x:v>476.0181638067866</x:v>
      </x:c>
      <x:c r="H215" s="563" t="n">
        <x:f>'_計算月次'!$K$11</x:f>
        <x:v>405</x:v>
      </x:c>
      <x:c r="I215" s="563" t="n">
        <x:f>(1-MAX(MIN('詳細設定'!$D$16,0.999999),0))^(B215-1)</x:f>
        <x:v>1</x:v>
      </x:c>
      <x:c r="J215" s="563" t="n">
        <x:f>MAX(G215*D215*I215,0)</x:f>
        <x:v>428.41634742610796</x:v>
      </x:c>
      <x:c r="K215" s="563" t="n">
        <x:f>MAX(MIN(J215*F215,H215),0)</x:f>
        <x:v>149.9457215991378</x:v>
      </x:c>
      <x:c r="L215" s="563" t="n">
        <x:f>MAX(J215-K215,0)</x:f>
        <x:v>278.47062582697015</x:v>
      </x:c>
      <x:c r="M215" s="185" t="n">
        <x:f>MAX('詳細設定'!$D$6,0)*(1+'詳細設定'!$D$21)^(B215-1)</x:f>
        <x:v>41.45065509805275</x:v>
      </x:c>
      <x:c r="N215" s="185" t="n">
        <x:f>IF(B215&lt;=MAX(MIN('詳細設定'!$D$8,20),0),MAX('詳細設定'!$D$7,0),IF(B215&lt;=MAX(MIN('詳細設定'!$D$10,20),0),MAX('詳細設定'!$D$9,0),MAX('詳細設定'!$D$11,0)))</x:f>
        <x:v>8.3</x:v>
      </x:c>
      <x:c r="O215" s="190" t="n">
        <x:f>K215*M215</x:f>
        <x:v>6215.3483894345</x:v>
      </x:c>
      <x:c r="P215" s="190" t="n">
        <x:f>L215*N215</x:f>
        <x:v>2311.3061943638522</x:v>
      </x:c>
      <x:c r="Q215" s="190" t="n">
        <x:f>O215+P215</x:f>
        <x:v>8526.654583798352</x:v>
      </x:c>
      <x:c r="R215" s="196" t="n">
        <x:f>J215-K215-L215</x:f>
        <x:v>0</x:v>
      </x:c>
    </x:row>
    <x:row r="216">
      <x:c r="A216" s="20" t="str">
        <x:v>慎重</x:v>
      </x:c>
      <x:c r="B216" s="20" t="n">
        <x:v>18</x:v>
      </x:c>
      <x:c r="C216" s="20" t="n">
        <x:v>8</x:v>
      </x:c>
      <x:c r="D216" s="189" t="n">
        <x:v>0.9</x:v>
      </x:c>
      <x:c r="E216" s="189" t="n">
        <x:v>1.1</x:v>
      </x:c>
      <x:c r="F216" s="189" t="n">
        <x:f>MAX(MIN('詳細設定'!$D$15+-0.05,1),0)</x:f>
        <x:v>0.35000000000000003</x:v>
      </x:c>
      <x:c r="G216" s="563" t="n">
        <x:f>'_計算月次'!$J$12</x:f>
        <x:v>528.6548067323699</x:v>
      </x:c>
      <x:c r="H216" s="563" t="n">
        <x:f>'_計算月次'!$K$12</x:f>
        <x:v>450</x:v>
      </x:c>
      <x:c r="I216" s="563" t="n">
        <x:f>(1-MAX(MIN('詳細設定'!$D$16,0.999999),0))^(B216-1)</x:f>
        <x:v>1</x:v>
      </x:c>
      <x:c r="J216" s="563" t="n">
        <x:f>MAX(G216*D216*I216,0)</x:f>
        <x:v>475.789326059133</x:v>
      </x:c>
      <x:c r="K216" s="563" t="n">
        <x:f>MAX(MIN(J216*F216,H216),0)</x:f>
        <x:v>166.52626412069657</x:v>
      </x:c>
      <x:c r="L216" s="563" t="n">
        <x:f>MAX(J216-K216,0)</x:f>
        <x:v>309.2630619384364</x:v>
      </x:c>
      <x:c r="M216" s="185" t="n">
        <x:f>MAX('詳細設定'!$D$6,0)*(1+'詳細設定'!$D$21)^(B216-1)</x:f>
        <x:v>41.45065509805275</x:v>
      </x:c>
      <x:c r="N216" s="185" t="n">
        <x:f>IF(B216&lt;=MAX(MIN('詳細設定'!$D$8,20),0),MAX('詳細設定'!$D$7,0),IF(B216&lt;=MAX(MIN('詳細設定'!$D$10,20),0),MAX('詳細設定'!$D$9,0),MAX('詳細設定'!$D$11,0)))</x:f>
        <x:v>8.3</x:v>
      </x:c>
      <x:c r="O216" s="190" t="n">
        <x:f>K216*M216</x:f>
        <x:v>6902.6227388342295</x:v>
      </x:c>
      <x:c r="P216" s="190" t="n">
        <x:f>L216*N216</x:f>
        <x:v>2566.8834140890226</x:v>
      </x:c>
      <x:c r="Q216" s="190" t="n">
        <x:f>O216+P216</x:f>
        <x:v>9469.506152923252</x:v>
      </x:c>
      <x:c r="R216" s="196" t="n">
        <x:f>J216-K216-L216</x:f>
        <x:v>0</x:v>
      </x:c>
    </x:row>
    <x:row r="217">
      <x:c r="A217" s="20" t="str">
        <x:v>慎重</x:v>
      </x:c>
      <x:c r="B217" s="20" t="n">
        <x:v>18</x:v>
      </x:c>
      <x:c r="C217" s="20" t="n">
        <x:v>9</x:v>
      </x:c>
      <x:c r="D217" s="189" t="n">
        <x:v>0.9</x:v>
      </x:c>
      <x:c r="E217" s="189" t="n">
        <x:v>1.1</x:v>
      </x:c>
      <x:c r="F217" s="189" t="n">
        <x:f>MAX(MIN('詳細設定'!$D$15+-0.05,1),0)</x:f>
        <x:v>0.35000000000000003</x:v>
      </x:c>
      <x:c r="G217" s="563" t="n">
        <x:f>'_計算月次'!$J$13</x:f>
        <x:v>436.37734765103465</x:v>
      </x:c>
      <x:c r="H217" s="563" t="n">
        <x:f>'_計算月次'!$K$13</x:f>
        <x:v>360</x:v>
      </x:c>
      <x:c r="I217" s="563" t="n">
        <x:f>(1-MAX(MIN('詳細設定'!$D$16,0.999999),0))^(B217-1)</x:f>
        <x:v>1</x:v>
      </x:c>
      <x:c r="J217" s="563" t="n">
        <x:f>MAX(G217*D217*I217,0)</x:f>
        <x:v>392.7396128859312</x:v>
      </x:c>
      <x:c r="K217" s="563" t="n">
        <x:f>MAX(MIN(J217*F217,H217),0)</x:f>
        <x:v>137.45886451007593</x:v>
      </x:c>
      <x:c r="L217" s="563" t="n">
        <x:f>MAX(J217-K217,0)</x:f>
        <x:v>255.28074837585527</x:v>
      </x:c>
      <x:c r="M217" s="185" t="n">
        <x:f>MAX('詳細設定'!$D$6,0)*(1+'詳細設定'!$D$21)^(B217-1)</x:f>
        <x:v>41.45065509805275</x:v>
      </x:c>
      <x:c r="N217" s="185" t="n">
        <x:f>IF(B217&lt;=MAX(MIN('詳細設定'!$D$8,20),0),MAX('詳細設定'!$D$7,0),IF(B217&lt;=MAX(MIN('詳細設定'!$D$10,20),0),MAX('詳細設定'!$D$9,0),MAX('詳細設定'!$D$11,0)))</x:f>
        <x:v>8.3</x:v>
      </x:c>
      <x:c r="O217" s="190" t="n">
        <x:f>K217*M217</x:f>
        <x:v>5697.759982977121</x:v>
      </x:c>
      <x:c r="P217" s="190" t="n">
        <x:f>L217*N217</x:f>
        <x:v>2118.830211519599</x:v>
      </x:c>
      <x:c r="Q217" s="190" t="n">
        <x:f>O217+P217</x:f>
        <x:v>7816.590194496719</x:v>
      </x:c>
      <x:c r="R217" s="196" t="n">
        <x:f>J217-K217-L217</x:f>
        <x:v>0</x:v>
      </x:c>
    </x:row>
    <x:row r="218">
      <x:c r="A218" s="20" t="str">
        <x:v>慎重</x:v>
      </x:c>
      <x:c r="B218" s="20" t="n">
        <x:v>18</x:v>
      </x:c>
      <x:c r="C218" s="20" t="n">
        <x:v>10</x:v>
      </x:c>
      <x:c r="D218" s="189" t="n">
        <x:v>0.9</x:v>
      </x:c>
      <x:c r="E218" s="189" t="n">
        <x:v>1.1</x:v>
      </x:c>
      <x:c r="F218" s="189" t="n">
        <x:f>MAX(MIN('詳細設定'!$D$15+-0.05,1),0)</x:f>
        <x:v>0.35000000000000003</x:v>
      </x:c>
      <x:c r="G218" s="563" t="n">
        <x:f>'_計算月次'!$J$14</x:f>
        <x:v>408.8269849869007</x:v>
      </x:c>
      <x:c r="H218" s="563" t="n">
        <x:f>'_計算月次'!$K$14</x:f>
        <x:v>315.00000000000006</x:v>
      </x:c>
      <x:c r="I218" s="563" t="n">
        <x:f>(1-MAX(MIN('詳細設定'!$D$16,0.999999),0))^(B218-1)</x:f>
        <x:v>1</x:v>
      </x:c>
      <x:c r="J218" s="563" t="n">
        <x:f>MAX(G218*D218*I218,0)</x:f>
        <x:v>367.94428648821065</x:v>
      </x:c>
      <x:c r="K218" s="563" t="n">
        <x:f>MAX(MIN(J218*F218,H218),0)</x:f>
        <x:v>128.78050027087374</x:v>
      </x:c>
      <x:c r="L218" s="563" t="n">
        <x:f>MAX(J218-K218,0)</x:f>
        <x:v>239.1637862173369</x:v>
      </x:c>
      <x:c r="M218" s="185" t="n">
        <x:f>MAX('詳細設定'!$D$6,0)*(1+'詳細設定'!$D$21)^(B218-1)</x:f>
        <x:v>41.45065509805275</x:v>
      </x:c>
      <x:c r="N218" s="185" t="n">
        <x:f>IF(B218&lt;=MAX(MIN('詳細設定'!$D$8,20),0),MAX('詳細設定'!$D$7,0),IF(B218&lt;=MAX(MIN('詳細設定'!$D$10,20),0),MAX('詳細設定'!$D$9,0),MAX('詳細設定'!$D$11,0)))</x:f>
        <x:v>8.3</x:v>
      </x:c>
      <x:c r="O218" s="190" t="n">
        <x:f>K218*M218</x:f>
        <x:v>5338.036100082676</x:v>
      </x:c>
      <x:c r="P218" s="190" t="n">
        <x:f>L218*N218</x:f>
        <x:v>1985.0594256038964</x:v>
      </x:c>
      <x:c r="Q218" s="190" t="n">
        <x:f>O218+P218</x:f>
        <x:v>7323.095525686573</x:v>
      </x:c>
      <x:c r="R218" s="196" t="n">
        <x:f>J218-K218-L218</x:f>
        <x:v>0</x:v>
      </x:c>
    </x:row>
    <x:row r="219">
      <x:c r="A219" s="20" t="str">
        <x:v>慎重</x:v>
      </x:c>
      <x:c r="B219" s="20" t="n">
        <x:v>18</x:v>
      </x:c>
      <x:c r="C219" s="20" t="n">
        <x:v>11</x:v>
      </x:c>
      <x:c r="D219" s="189" t="n">
        <x:v>0.9</x:v>
      </x:c>
      <x:c r="E219" s="189" t="n">
        <x:v>1.1</x:v>
      </x:c>
      <x:c r="F219" s="189" t="n">
        <x:f>MAX(MIN('詳細設定'!$D$15+-0.05,1),0)</x:f>
        <x:v>0.35000000000000003</x:v>
      </x:c>
      <x:c r="G219" s="563" t="n">
        <x:f>'_計算月次'!$J$15</x:f>
        <x:v>398.45169764745054</x:v>
      </x:c>
      <x:c r="H219" s="563" t="n">
        <x:f>'_計算月次'!$K$15</x:f>
        <x:v>360</x:v>
      </x:c>
      <x:c r="I219" s="563" t="n">
        <x:f>(1-MAX(MIN('詳細設定'!$D$16,0.999999),0))^(B219-1)</x:f>
        <x:v>1</x:v>
      </x:c>
      <x:c r="J219" s="563" t="n">
        <x:f>MAX(G219*D219*I219,0)</x:f>
        <x:v>358.6065278827055</x:v>
      </x:c>
      <x:c r="K219" s="563" t="n">
        <x:f>MAX(MIN(J219*F219,H219),0)</x:f>
        <x:v>125.51228475894693</x:v>
      </x:c>
      <x:c r="L219" s="563" t="n">
        <x:f>MAX(J219-K219,0)</x:f>
        <x:v>233.0942431237586</x:v>
      </x:c>
      <x:c r="M219" s="185" t="n">
        <x:f>MAX('詳細設定'!$D$6,0)*(1+'詳細設定'!$D$21)^(B219-1)</x:f>
        <x:v>41.45065509805275</x:v>
      </x:c>
      <x:c r="N219" s="185" t="n">
        <x:f>IF(B219&lt;=MAX(MIN('詳細設定'!$D$8,20),0),MAX('詳細設定'!$D$7,0),IF(B219&lt;=MAX(MIN('詳細設定'!$D$10,20),0),MAX('詳細設定'!$D$9,0),MAX('詳細設定'!$D$11,0)))</x:f>
        <x:v>8.3</x:v>
      </x:c>
      <x:c r="O219" s="190" t="n">
        <x:f>K219*M219</x:f>
        <x:v>5202.566426111692</x:v>
      </x:c>
      <x:c r="P219" s="190" t="n">
        <x:f>L219*N219</x:f>
        <x:v>1934.6822179271965</x:v>
      </x:c>
      <x:c r="Q219" s="190" t="n">
        <x:f>O219+P219</x:f>
        <x:v>7137.248644038888</x:v>
      </x:c>
      <x:c r="R219" s="196" t="n">
        <x:f>J219-K219-L219</x:f>
        <x:v>0</x:v>
      </x:c>
    </x:row>
    <x:row r="220">
      <x:c r="A220" s="20" t="str">
        <x:v>慎重</x:v>
      </x:c>
      <x:c r="B220" s="20" t="n">
        <x:v>18</x:v>
      </x:c>
      <x:c r="C220" s="20" t="n">
        <x:v>12</x:v>
      </x:c>
      <x:c r="D220" s="189" t="n">
        <x:v>0.9</x:v>
      </x:c>
      <x:c r="E220" s="189" t="n">
        <x:v>1.1</x:v>
      </x:c>
      <x:c r="F220" s="189" t="n">
        <x:f>MAX(MIN('詳細設定'!$D$15+-0.05,1),0)</x:f>
        <x:v>0.35000000000000003</x:v>
      </x:c>
      <x:c r="G220" s="563" t="n">
        <x:f>'_計算月次'!$J$16</x:f>
        <x:v>443.97248688000184</x:v>
      </x:c>
      <x:c r="H220" s="563" t="n">
        <x:f>'_計算月次'!$K$16</x:f>
        <x:v>405</x:v>
      </x:c>
      <x:c r="I220" s="563" t="n">
        <x:f>(1-MAX(MIN('詳細設定'!$D$16,0.999999),0))^(B220-1)</x:f>
        <x:v>1</x:v>
      </x:c>
      <x:c r="J220" s="563" t="n">
        <x:f>MAX(G220*D220*I220,0)</x:f>
        <x:v>399.5752381920017</x:v>
      </x:c>
      <x:c r="K220" s="563" t="n">
        <x:f>MAX(MIN(J220*F220,H220),0)</x:f>
        <x:v>139.8513333672006</x:v>
      </x:c>
      <x:c r="L220" s="563" t="n">
        <x:f>MAX(J220-K220,0)</x:f>
        <x:v>259.7239048248011</x:v>
      </x:c>
      <x:c r="M220" s="185" t="n">
        <x:f>MAX('詳細設定'!$D$6,0)*(1+'詳細設定'!$D$21)^(B220-1)</x:f>
        <x:v>41.45065509805275</x:v>
      </x:c>
      <x:c r="N220" s="185" t="n">
        <x:f>IF(B220&lt;=MAX(MIN('詳細設定'!$D$8,20),0),MAX('詳細設定'!$D$7,0),IF(B220&lt;=MAX(MIN('詳細設定'!$D$10,20),0),MAX('詳細設定'!$D$9,0),MAX('詳細設定'!$D$11,0)))</x:f>
        <x:v>8.3</x:v>
      </x:c>
      <x:c r="O220" s="190" t="n">
        <x:f>K220*M220</x:f>
        <x:v>5796.929384406628</x:v>
      </x:c>
      <x:c r="P220" s="190" t="n">
        <x:f>L220*N220</x:f>
        <x:v>2155.708410045849</x:v>
      </x:c>
      <x:c r="Q220" s="190" t="n">
        <x:f>O220+P220</x:f>
        <x:v>7952.6377944524775</x:v>
      </x:c>
      <x:c r="R220" s="196" t="n">
        <x:f>J220-K220-L220</x:f>
        <x:v>0</x:v>
      </x:c>
    </x:row>
    <x:row r="221">
      <x:c r="A221" s="20" t="str">
        <x:v>慎重</x:v>
      </x:c>
      <x:c r="B221" s="20" t="n">
        <x:v>19</x:v>
      </x:c>
      <x:c r="C221" s="20" t="n">
        <x:v>1</x:v>
      </x:c>
      <x:c r="D221" s="189" t="n">
        <x:v>0.9</x:v>
      </x:c>
      <x:c r="E221" s="189" t="n">
        <x:v>1.1</x:v>
      </x:c>
      <x:c r="F221" s="189" t="n">
        <x:f>MAX(MIN('詳細設定'!$D$15+-0.05,1),0)</x:f>
        <x:v>0.35000000000000003</x:v>
      </x:c>
      <x:c r="G221" s="563" t="n">
        <x:f>'_計算月次'!$J$5</x:f>
        <x:v>502.4147595742038</x:v>
      </x:c>
      <x:c r="H221" s="563" t="n">
        <x:f>'_計算月次'!$K$5</x:f>
        <x:v>450</x:v>
      </x:c>
      <x:c r="I221" s="563" t="n">
        <x:f>(1-MAX(MIN('詳細設定'!$D$16,0.999999),0))^(B221-1)</x:f>
        <x:v>1</x:v>
      </x:c>
      <x:c r="J221" s="563" t="n">
        <x:f>MAX(G221*D221*I221,0)</x:f>
        <x:v>452.1732836167834</x:v>
      </x:c>
      <x:c r="K221" s="563" t="n">
        <x:f>MAX(MIN(J221*F221,H221),0)</x:f>
        <x:v>158.2606492658742</x:v>
      </x:c>
      <x:c r="L221" s="563" t="n">
        <x:f>MAX(J221-K221,0)</x:f>
        <x:v>293.91263435090923</x:v>
      </x:c>
      <x:c r="M221" s="185" t="n">
        <x:f>MAX('詳細設定'!$D$6,0)*(1+'詳細設定'!$D$21)^(B221-1)</x:f>
        <x:v>41.865161649033276</x:v>
      </x:c>
      <x:c r="N221" s="185" t="n">
        <x:f>IF(B221&lt;=MAX(MIN('詳細設定'!$D$8,20),0),MAX('詳細設定'!$D$7,0),IF(B221&lt;=MAX(MIN('詳細設定'!$D$10,20),0),MAX('詳細設定'!$D$9,0),MAX('詳細設定'!$D$11,0)))</x:f>
        <x:v>8.3</x:v>
      </x:c>
      <x:c r="O221" s="190" t="n">
        <x:f>K221*M221</x:f>
        <x:v>6625.607664196783</x:v>
      </x:c>
      <x:c r="P221" s="190" t="n">
        <x:f>L221*N221</x:f>
        <x:v>2439.474865112547</x:v>
      </x:c>
      <x:c r="Q221" s="190" t="n">
        <x:f>O221+P221</x:f>
        <x:v>9065.08252930933</x:v>
      </x:c>
      <x:c r="R221" s="196" t="n">
        <x:f>J221-K221-L221</x:f>
        <x:v>0</x:v>
      </x:c>
    </x:row>
    <x:row r="222">
      <x:c r="A222" s="20" t="str">
        <x:v>慎重</x:v>
      </x:c>
      <x:c r="B222" s="20" t="n">
        <x:v>19</x:v>
      </x:c>
      <x:c r="C222" s="20" t="n">
        <x:v>2</x:v>
      </x:c>
      <x:c r="D222" s="189" t="n">
        <x:v>0.9</x:v>
      </x:c>
      <x:c r="E222" s="189" t="n">
        <x:v>1.1</x:v>
      </x:c>
      <x:c r="F222" s="189" t="n">
        <x:f>MAX(MIN('詳細設定'!$D$15+-0.05,1),0)</x:f>
        <x:v>0.35000000000000003</x:v>
      </x:c>
      <x:c r="G222" s="563" t="n">
        <x:f>'_計算月次'!$J$6</x:f>
        <x:v>472.4508339500229</x:v>
      </x:c>
      <x:c r="H222" s="563" t="n">
        <x:f>'_計算月次'!$K$6</x:f>
        <x:v>405</x:v>
      </x:c>
      <x:c r="I222" s="563" t="n">
        <x:f>(1-MAX(MIN('詳細設定'!$D$16,0.999999),0))^(B222-1)</x:f>
        <x:v>1</x:v>
      </x:c>
      <x:c r="J222" s="563" t="n">
        <x:f>MAX(G222*D222*I222,0)</x:f>
        <x:v>425.20575055502064</x:v>
      </x:c>
      <x:c r="K222" s="563" t="n">
        <x:f>MAX(MIN(J222*F222,H222),0)</x:f>
        <x:v>148.82201269425724</x:v>
      </x:c>
      <x:c r="L222" s="563" t="n">
        <x:f>MAX(J222-K222,0)</x:f>
        <x:v>276.3837378607634</x:v>
      </x:c>
      <x:c r="M222" s="185" t="n">
        <x:f>MAX('詳細設定'!$D$6,0)*(1+'詳細設定'!$D$21)^(B222-1)</x:f>
        <x:v>41.865161649033276</x:v>
      </x:c>
      <x:c r="N222" s="185" t="n">
        <x:f>IF(B222&lt;=MAX(MIN('詳細設定'!$D$8,20),0),MAX('詳細設定'!$D$7,0),IF(B222&lt;=MAX(MIN('詳細設定'!$D$10,20),0),MAX('詳細設定'!$D$9,0),MAX('詳細設定'!$D$11,0)))</x:f>
        <x:v>8.3</x:v>
      </x:c>
      <x:c r="O222" s="190" t="n">
        <x:f>K222*M222</x:f>
        <x:v>6230.457618379562</x:v>
      </x:c>
      <x:c r="P222" s="190" t="n">
        <x:f>L222*N222</x:f>
        <x:v>2293.9850242443363</x:v>
      </x:c>
      <x:c r="Q222" s="190" t="n">
        <x:f>O222+P222</x:f>
        <x:v>8524.442642623897</x:v>
      </x:c>
      <x:c r="R222" s="196" t="n">
        <x:f>J222-K222-L222</x:f>
        <x:v>0</x:v>
      </x:c>
    </x:row>
    <x:row r="223">
      <x:c r="A223" s="20" t="str">
        <x:v>慎重</x:v>
      </x:c>
      <x:c r="B223" s="20" t="n">
        <x:v>19</x:v>
      </x:c>
      <x:c r="C223" s="20" t="n">
        <x:v>3</x:v>
      </x:c>
      <x:c r="D223" s="189" t="n">
        <x:v>0.9</x:v>
      </x:c>
      <x:c r="E223" s="189" t="n">
        <x:v>1.1</x:v>
      </x:c>
      <x:c r="F223" s="189" t="n">
        <x:f>MAX(MIN('詳細設定'!$D$15+-0.05,1),0)</x:f>
        <x:v>0.35000000000000003</x:v>
      </x:c>
      <x:c r="G223" s="563" t="n">
        <x:f>'_計算月次'!$J$7</x:f>
        <x:v>548.3418864753118</x:v>
      </x:c>
      <x:c r="H223" s="563" t="n">
        <x:f>'_計算月次'!$K$7</x:f>
        <x:v>360</x:v>
      </x:c>
      <x:c r="I223" s="563" t="n">
        <x:f>(1-MAX(MIN('詳細設定'!$D$16,0.999999),0))^(B223-1)</x:f>
        <x:v>1</x:v>
      </x:c>
      <x:c r="J223" s="563" t="n">
        <x:f>MAX(G223*D223*I223,0)</x:f>
        <x:v>493.5076978277806</x:v>
      </x:c>
      <x:c r="K223" s="563" t="n">
        <x:f>MAX(MIN(J223*F223,H223),0)</x:f>
        <x:v>172.72769423972323</x:v>
      </x:c>
      <x:c r="L223" s="563" t="n">
        <x:f>MAX(J223-K223,0)</x:f>
        <x:v>320.78000358805735</x:v>
      </x:c>
      <x:c r="M223" s="185" t="n">
        <x:f>MAX('詳細設定'!$D$6,0)*(1+'詳細設定'!$D$21)^(B223-1)</x:f>
        <x:v>41.865161649033276</x:v>
      </x:c>
      <x:c r="N223" s="185" t="n">
        <x:f>IF(B223&lt;=MAX(MIN('詳細設定'!$D$8,20),0),MAX('詳細設定'!$D$7,0),IF(B223&lt;=MAX(MIN('詳細設定'!$D$10,20),0),MAX('詳細設定'!$D$9,0),MAX('詳細設定'!$D$11,0)))</x:f>
        <x:v>8.3</x:v>
      </x:c>
      <x:c r="O223" s="190" t="n">
        <x:f>K223*M223</x:f>
        <x:v>7231.272840610807</x:v>
      </x:c>
      <x:c r="P223" s="190" t="n">
        <x:f>L223*N223</x:f>
        <x:v>2662.474029780876</x:v>
      </x:c>
      <x:c r="Q223" s="190" t="n">
        <x:f>O223+P223</x:f>
        <x:v>9893.746870391684</x:v>
      </x:c>
      <x:c r="R223" s="196" t="n">
        <x:f>J223-K223-L223</x:f>
        <x:v>0</x:v>
      </x:c>
    </x:row>
    <x:row r="224">
      <x:c r="A224" s="20" t="str">
        <x:v>慎重</x:v>
      </x:c>
      <x:c r="B224" s="20" t="n">
        <x:v>19</x:v>
      </x:c>
      <x:c r="C224" s="20" t="n">
        <x:v>4</x:v>
      </x:c>
      <x:c r="D224" s="189" t="n">
        <x:v>0.9</x:v>
      </x:c>
      <x:c r="E224" s="189" t="n">
        <x:v>1.1</x:v>
      </x:c>
      <x:c r="F224" s="189" t="n">
        <x:f>MAX(MIN('詳細設定'!$D$15+-0.05,1),0)</x:f>
        <x:v>0.35000000000000003</x:v>
      </x:c>
      <x:c r="G224" s="563" t="n">
        <x:f>'_計算月次'!$J$8</x:f>
        <x:v>548.3944393749554</x:v>
      </x:c>
      <x:c r="H224" s="563" t="n">
        <x:f>'_計算月次'!$K$8</x:f>
        <x:v>315.00000000000006</x:v>
      </x:c>
      <x:c r="I224" s="563" t="n">
        <x:f>(1-MAX(MIN('詳細設定'!$D$16,0.999999),0))^(B224-1)</x:f>
        <x:v>1</x:v>
      </x:c>
      <x:c r="J224" s="563" t="n">
        <x:f>MAX(G224*D224*I224,0)</x:f>
        <x:v>493.55499543745987</x:v>
      </x:c>
      <x:c r="K224" s="563" t="n">
        <x:f>MAX(MIN(J224*F224,H224),0)</x:f>
        <x:v>172.74424840311096</x:v>
      </x:c>
      <x:c r="L224" s="563" t="n">
        <x:f>MAX(J224-K224,0)</x:f>
        <x:v>320.8107470343489</x:v>
      </x:c>
      <x:c r="M224" s="185" t="n">
        <x:f>MAX('詳細設定'!$D$6,0)*(1+'詳細設定'!$D$21)^(B224-1)</x:f>
        <x:v>41.865161649033276</x:v>
      </x:c>
      <x:c r="N224" s="185" t="n">
        <x:f>IF(B224&lt;=MAX(MIN('詳細設定'!$D$8,20),0),MAX('詳細設定'!$D$7,0),IF(B224&lt;=MAX(MIN('詳細設定'!$D$10,20),0),MAX('詳細設定'!$D$9,0),MAX('詳細設定'!$D$11,0)))</x:f>
        <x:v>8.3</x:v>
      </x:c>
      <x:c r="O224" s="190" t="n">
        <x:f>K224*M224</x:f>
        <x:v>7231.965883336999</x:v>
      </x:c>
      <x:c r="P224" s="190" t="n">
        <x:f>L224*N224</x:f>
        <x:v>2662.7292003850957</x:v>
      </x:c>
      <x:c r="Q224" s="190" t="n">
        <x:f>O224+P224</x:f>
        <x:v>9894.695083722094</x:v>
      </x:c>
      <x:c r="R224" s="196" t="n">
        <x:f>J224-K224-L224</x:f>
        <x:v>0</x:v>
      </x:c>
    </x:row>
    <x:row r="225">
      <x:c r="A225" s="20" t="str">
        <x:v>慎重</x:v>
      </x:c>
      <x:c r="B225" s="20" t="n">
        <x:v>19</x:v>
      </x:c>
      <x:c r="C225" s="20" t="n">
        <x:v>5</x:v>
      </x:c>
      <x:c r="D225" s="189" t="n">
        <x:v>0.9</x:v>
      </x:c>
      <x:c r="E225" s="189" t="n">
        <x:v>1.1</x:v>
      </x:c>
      <x:c r="F225" s="189" t="n">
        <x:f>MAX(MIN('詳細設定'!$D$15+-0.05,1),0)</x:f>
        <x:v>0.35000000000000003</x:v>
      </x:c>
      <x:c r="G225" s="563" t="n">
        <x:f>'_計算月次'!$J$9</x:f>
        <x:v>552.2367574934775</x:v>
      </x:c>
      <x:c r="H225" s="563" t="n">
        <x:f>'_計算月次'!$K$9</x:f>
        <x:v>315.00000000000006</x:v>
      </x:c>
      <x:c r="I225" s="563" t="n">
        <x:f>(1-MAX(MIN('詳細設定'!$D$16,0.999999),0))^(B225-1)</x:f>
        <x:v>1</x:v>
      </x:c>
      <x:c r="J225" s="563" t="n">
        <x:f>MAX(G225*D225*I225,0)</x:f>
        <x:v>497.01308174412975</x:v>
      </x:c>
      <x:c r="K225" s="563" t="n">
        <x:f>MAX(MIN(J225*F225,H225),0)</x:f>
        <x:v>173.95457861044542</x:v>
      </x:c>
      <x:c r="L225" s="563" t="n">
        <x:f>MAX(J225-K225,0)</x:f>
        <x:v>323.0585031336843</x:v>
      </x:c>
      <x:c r="M225" s="185" t="n">
        <x:f>MAX('詳細設定'!$D$6,0)*(1+'詳細設定'!$D$21)^(B225-1)</x:f>
        <x:v>41.865161649033276</x:v>
      </x:c>
      <x:c r="N225" s="185" t="n">
        <x:f>IF(B225&lt;=MAX(MIN('詳細設定'!$D$8,20),0),MAX('詳細設定'!$D$7,0),IF(B225&lt;=MAX(MIN('詳細設定'!$D$10,20),0),MAX('詳細設定'!$D$9,0),MAX('詳細設定'!$D$11,0)))</x:f>
        <x:v>8.3</x:v>
      </x:c>
      <x:c r="O225" s="190" t="n">
        <x:f>K225*M225</x:f>
        <x:v>7282.6365531157635</x:v>
      </x:c>
      <x:c r="P225" s="190" t="n">
        <x:f>L225*N225</x:f>
        <x:v>2681.3855760095803</x:v>
      </x:c>
      <x:c r="Q225" s="190" t="n">
        <x:f>O225+P225</x:f>
        <x:v>9964.022129125344</x:v>
      </x:c>
      <x:c r="R225" s="196" t="n">
        <x:f>J225-K225-L225</x:f>
        <x:v>0</x:v>
      </x:c>
    </x:row>
    <x:row r="226">
      <x:c r="A226" s="20" t="str">
        <x:v>慎重</x:v>
      </x:c>
      <x:c r="B226" s="20" t="n">
        <x:v>19</x:v>
      </x:c>
      <x:c r="C226" s="20" t="n">
        <x:v>6</x:v>
      </x:c>
      <x:c r="D226" s="189" t="n">
        <x:v>0.9</x:v>
      </x:c>
      <x:c r="E226" s="189" t="n">
        <x:v>1.1</x:v>
      </x:c>
      <x:c r="F226" s="189" t="n">
        <x:f>MAX(MIN('詳細設定'!$D$15+-0.05,1),0)</x:f>
        <x:v>0.35000000000000003</x:v>
      </x:c>
      <x:c r="G226" s="563" t="n">
        <x:f>'_計算月次'!$J$10</x:f>
        <x:v>448.7994857612148</x:v>
      </x:c>
      <x:c r="H226" s="563" t="n">
        <x:f>'_計算月次'!$K$10</x:f>
        <x:v>360</x:v>
      </x:c>
      <x:c r="I226" s="563" t="n">
        <x:f>(1-MAX(MIN('詳細設定'!$D$16,0.999999),0))^(B226-1)</x:f>
        <x:v>1</x:v>
      </x:c>
      <x:c r="J226" s="563" t="n">
        <x:f>MAX(G226*D226*I226,0)</x:f>
        <x:v>403.9195371850933</x:v>
      </x:c>
      <x:c r="K226" s="563" t="n">
        <x:f>MAX(MIN(J226*F226,H226),0)</x:f>
        <x:v>141.37183801478267</x:v>
      </x:c>
      <x:c r="L226" s="563" t="n">
        <x:f>MAX(J226-K226,0)</x:f>
        <x:v>262.54769917031064</x:v>
      </x:c>
      <x:c r="M226" s="185" t="n">
        <x:f>MAX('詳細設定'!$D$6,0)*(1+'詳細設定'!$D$21)^(B226-1)</x:f>
        <x:v>41.865161649033276</x:v>
      </x:c>
      <x:c r="N226" s="185" t="n">
        <x:f>IF(B226&lt;=MAX(MIN('詳細設定'!$D$8,20),0),MAX('詳細設定'!$D$7,0),IF(B226&lt;=MAX(MIN('詳細設定'!$D$10,20),0),MAX('詳細設定'!$D$9,0),MAX('詳細設定'!$D$11,0)))</x:f>
        <x:v>8.3</x:v>
      </x:c>
      <x:c r="O226" s="190" t="n">
        <x:f>K226*M226</x:f>
        <x:v>5918.554851109824</x:v>
      </x:c>
      <x:c r="P226" s="190" t="n">
        <x:f>L226*N226</x:f>
        <x:v>2179.1459031135782</x:v>
      </x:c>
      <x:c r="Q226" s="190" t="n">
        <x:f>O226+P226</x:f>
        <x:v>8097.700754223402</x:v>
      </x:c>
      <x:c r="R226" s="196" t="n">
        <x:f>J226-K226-L226</x:f>
        <x:v>0</x:v>
      </x:c>
    </x:row>
    <x:row r="227">
      <x:c r="A227" s="20" t="str">
        <x:v>慎重</x:v>
      </x:c>
      <x:c r="B227" s="20" t="n">
        <x:v>19</x:v>
      </x:c>
      <x:c r="C227" s="20" t="n">
        <x:v>7</x:v>
      </x:c>
      <x:c r="D227" s="189" t="n">
        <x:v>0.9</x:v>
      </x:c>
      <x:c r="E227" s="189" t="n">
        <x:v>1.1</x:v>
      </x:c>
      <x:c r="F227" s="189" t="n">
        <x:f>MAX(MIN('詳細設定'!$D$15+-0.05,1),0)</x:f>
        <x:v>0.35000000000000003</x:v>
      </x:c>
      <x:c r="G227" s="563" t="n">
        <x:f>'_計算月次'!$J$11</x:f>
        <x:v>476.0181638067866</x:v>
      </x:c>
      <x:c r="H227" s="563" t="n">
        <x:f>'_計算月次'!$K$11</x:f>
        <x:v>405</x:v>
      </x:c>
      <x:c r="I227" s="563" t="n">
        <x:f>(1-MAX(MIN('詳細設定'!$D$16,0.999999),0))^(B227-1)</x:f>
        <x:v>1</x:v>
      </x:c>
      <x:c r="J227" s="563" t="n">
        <x:f>MAX(G227*D227*I227,0)</x:f>
        <x:v>428.41634742610796</x:v>
      </x:c>
      <x:c r="K227" s="563" t="n">
        <x:f>MAX(MIN(J227*F227,H227),0)</x:f>
        <x:v>149.9457215991378</x:v>
      </x:c>
      <x:c r="L227" s="563" t="n">
        <x:f>MAX(J227-K227,0)</x:f>
        <x:v>278.47062582697015</x:v>
      </x:c>
      <x:c r="M227" s="185" t="n">
        <x:f>MAX('詳細設定'!$D$6,0)*(1+'詳細設定'!$D$21)^(B227-1)</x:f>
        <x:v>41.865161649033276</x:v>
      </x:c>
      <x:c r="N227" s="185" t="n">
        <x:f>IF(B227&lt;=MAX(MIN('詳細設定'!$D$8,20),0),MAX('詳細設定'!$D$7,0),IF(B227&lt;=MAX(MIN('詳細設定'!$D$10,20),0),MAX('詳細設定'!$D$9,0),MAX('詳細設定'!$D$11,0)))</x:f>
        <x:v>8.3</x:v>
      </x:c>
      <x:c r="O227" s="190" t="n">
        <x:f>K227*M227</x:f>
        <x:v>6277.501873328845</x:v>
      </x:c>
      <x:c r="P227" s="190" t="n">
        <x:f>L227*N227</x:f>
        <x:v>2311.3061943638522</x:v>
      </x:c>
      <x:c r="Q227" s="190" t="n">
        <x:f>O227+P227</x:f>
        <x:v>8588.808067692698</x:v>
      </x:c>
      <x:c r="R227" s="196" t="n">
        <x:f>J227-K227-L227</x:f>
        <x:v>0</x:v>
      </x:c>
    </x:row>
    <x:row r="228">
      <x:c r="A228" s="20" t="str">
        <x:v>慎重</x:v>
      </x:c>
      <x:c r="B228" s="20" t="n">
        <x:v>19</x:v>
      </x:c>
      <x:c r="C228" s="20" t="n">
        <x:v>8</x:v>
      </x:c>
      <x:c r="D228" s="189" t="n">
        <x:v>0.9</x:v>
      </x:c>
      <x:c r="E228" s="189" t="n">
        <x:v>1.1</x:v>
      </x:c>
      <x:c r="F228" s="189" t="n">
        <x:f>MAX(MIN('詳細設定'!$D$15+-0.05,1),0)</x:f>
        <x:v>0.35000000000000003</x:v>
      </x:c>
      <x:c r="G228" s="563" t="n">
        <x:f>'_計算月次'!$J$12</x:f>
        <x:v>528.6548067323699</x:v>
      </x:c>
      <x:c r="H228" s="563" t="n">
        <x:f>'_計算月次'!$K$12</x:f>
        <x:v>450</x:v>
      </x:c>
      <x:c r="I228" s="563" t="n">
        <x:f>(1-MAX(MIN('詳細設定'!$D$16,0.999999),0))^(B228-1)</x:f>
        <x:v>1</x:v>
      </x:c>
      <x:c r="J228" s="563" t="n">
        <x:f>MAX(G228*D228*I228,0)</x:f>
        <x:v>475.789326059133</x:v>
      </x:c>
      <x:c r="K228" s="563" t="n">
        <x:f>MAX(MIN(J228*F228,H228),0)</x:f>
        <x:v>166.52626412069657</x:v>
      </x:c>
      <x:c r="L228" s="563" t="n">
        <x:f>MAX(J228-K228,0)</x:f>
        <x:v>309.2630619384364</x:v>
      </x:c>
      <x:c r="M228" s="185" t="n">
        <x:f>MAX('詳細設定'!$D$6,0)*(1+'詳細設定'!$D$21)^(B228-1)</x:f>
        <x:v>41.865161649033276</x:v>
      </x:c>
      <x:c r="N228" s="185" t="n">
        <x:f>IF(B228&lt;=MAX(MIN('詳細設定'!$D$8,20),0),MAX('詳細設定'!$D$7,0),IF(B228&lt;=MAX(MIN('詳細設定'!$D$10,20),0),MAX('詳細設定'!$D$9,0),MAX('詳細設定'!$D$11,0)))</x:f>
        <x:v>8.3</x:v>
      </x:c>
      <x:c r="O228" s="190" t="n">
        <x:f>K228*M228</x:f>
        <x:v>6971.648966222572</x:v>
      </x:c>
      <x:c r="P228" s="190" t="n">
        <x:f>L228*N228</x:f>
        <x:v>2566.8834140890226</x:v>
      </x:c>
      <x:c r="Q228" s="190" t="n">
        <x:f>O228+P228</x:f>
        <x:v>9538.532380311595</x:v>
      </x:c>
      <x:c r="R228" s="196" t="n">
        <x:f>J228-K228-L228</x:f>
        <x:v>0</x:v>
      </x:c>
    </x:row>
    <x:row r="229">
      <x:c r="A229" s="20" t="str">
        <x:v>慎重</x:v>
      </x:c>
      <x:c r="B229" s="20" t="n">
        <x:v>19</x:v>
      </x:c>
      <x:c r="C229" s="20" t="n">
        <x:v>9</x:v>
      </x:c>
      <x:c r="D229" s="189" t="n">
        <x:v>0.9</x:v>
      </x:c>
      <x:c r="E229" s="189" t="n">
        <x:v>1.1</x:v>
      </x:c>
      <x:c r="F229" s="189" t="n">
        <x:f>MAX(MIN('詳細設定'!$D$15+-0.05,1),0)</x:f>
        <x:v>0.35000000000000003</x:v>
      </x:c>
      <x:c r="G229" s="563" t="n">
        <x:f>'_計算月次'!$J$13</x:f>
        <x:v>436.37734765103465</x:v>
      </x:c>
      <x:c r="H229" s="563" t="n">
        <x:f>'_計算月次'!$K$13</x:f>
        <x:v>360</x:v>
      </x:c>
      <x:c r="I229" s="563" t="n">
        <x:f>(1-MAX(MIN('詳細設定'!$D$16,0.999999),0))^(B229-1)</x:f>
        <x:v>1</x:v>
      </x:c>
      <x:c r="J229" s="563" t="n">
        <x:f>MAX(G229*D229*I229,0)</x:f>
        <x:v>392.7396128859312</x:v>
      </x:c>
      <x:c r="K229" s="563" t="n">
        <x:f>MAX(MIN(J229*F229,H229),0)</x:f>
        <x:v>137.45886451007593</x:v>
      </x:c>
      <x:c r="L229" s="563" t="n">
        <x:f>MAX(J229-K229,0)</x:f>
        <x:v>255.28074837585527</x:v>
      </x:c>
      <x:c r="M229" s="185" t="n">
        <x:f>MAX('詳細設定'!$D$6,0)*(1+'詳細設定'!$D$21)^(B229-1)</x:f>
        <x:v>41.865161649033276</x:v>
      </x:c>
      <x:c r="N229" s="185" t="n">
        <x:f>IF(B229&lt;=MAX(MIN('詳細設定'!$D$8,20),0),MAX('詳細設定'!$D$7,0),IF(B229&lt;=MAX(MIN('詳細設定'!$D$10,20),0),MAX('詳細設定'!$D$9,0),MAX('詳細設定'!$D$11,0)))</x:f>
        <x:v>8.3</x:v>
      </x:c>
      <x:c r="O229" s="190" t="n">
        <x:f>K229*M229</x:f>
        <x:v>5754.737582806892</x:v>
      </x:c>
      <x:c r="P229" s="190" t="n">
        <x:f>L229*N229</x:f>
        <x:v>2118.830211519599</x:v>
      </x:c>
      <x:c r="Q229" s="190" t="n">
        <x:f>O229+P229</x:f>
        <x:v>7873.567794326491</x:v>
      </x:c>
      <x:c r="R229" s="196" t="n">
        <x:f>J229-K229-L229</x:f>
        <x:v>0</x:v>
      </x:c>
    </x:row>
    <x:row r="230">
      <x:c r="A230" s="20" t="str">
        <x:v>慎重</x:v>
      </x:c>
      <x:c r="B230" s="20" t="n">
        <x:v>19</x:v>
      </x:c>
      <x:c r="C230" s="20" t="n">
        <x:v>10</x:v>
      </x:c>
      <x:c r="D230" s="189" t="n">
        <x:v>0.9</x:v>
      </x:c>
      <x:c r="E230" s="189" t="n">
        <x:v>1.1</x:v>
      </x:c>
      <x:c r="F230" s="189" t="n">
        <x:f>MAX(MIN('詳細設定'!$D$15+-0.05,1),0)</x:f>
        <x:v>0.35000000000000003</x:v>
      </x:c>
      <x:c r="G230" s="563" t="n">
        <x:f>'_計算月次'!$J$14</x:f>
        <x:v>408.8269849869007</x:v>
      </x:c>
      <x:c r="H230" s="563" t="n">
        <x:f>'_計算月次'!$K$14</x:f>
        <x:v>315.00000000000006</x:v>
      </x:c>
      <x:c r="I230" s="563" t="n">
        <x:f>(1-MAX(MIN('詳細設定'!$D$16,0.999999),0))^(B230-1)</x:f>
        <x:v>1</x:v>
      </x:c>
      <x:c r="J230" s="563" t="n">
        <x:f>MAX(G230*D230*I230,0)</x:f>
        <x:v>367.94428648821065</x:v>
      </x:c>
      <x:c r="K230" s="563" t="n">
        <x:f>MAX(MIN(J230*F230,H230),0)</x:f>
        <x:v>128.78050027087374</x:v>
      </x:c>
      <x:c r="L230" s="563" t="n">
        <x:f>MAX(J230-K230,0)</x:f>
        <x:v>239.1637862173369</x:v>
      </x:c>
      <x:c r="M230" s="185" t="n">
        <x:f>MAX('詳細設定'!$D$6,0)*(1+'詳細設定'!$D$21)^(B230-1)</x:f>
        <x:v>41.865161649033276</x:v>
      </x:c>
      <x:c r="N230" s="185" t="n">
        <x:f>IF(B230&lt;=MAX(MIN('詳細設定'!$D$8,20),0),MAX('詳細設定'!$D$7,0),IF(B230&lt;=MAX(MIN('詳細設定'!$D$10,20),0),MAX('詳細設定'!$D$9,0),MAX('詳細設定'!$D$11,0)))</x:f>
        <x:v>8.3</x:v>
      </x:c>
      <x:c r="O230" s="190" t="n">
        <x:f>K230*M230</x:f>
        <x:v>5391.416461083503</x:v>
      </x:c>
      <x:c r="P230" s="190" t="n">
        <x:f>L230*N230</x:f>
        <x:v>1985.0594256038964</x:v>
      </x:c>
      <x:c r="Q230" s="190" t="n">
        <x:f>O230+P230</x:f>
        <x:v>7376.4758866874</x:v>
      </x:c>
      <x:c r="R230" s="196" t="n">
        <x:f>J230-K230-L230</x:f>
        <x:v>0</x:v>
      </x:c>
    </x:row>
    <x:row r="231">
      <x:c r="A231" s="20" t="str">
        <x:v>慎重</x:v>
      </x:c>
      <x:c r="B231" s="20" t="n">
        <x:v>19</x:v>
      </x:c>
      <x:c r="C231" s="20" t="n">
        <x:v>11</x:v>
      </x:c>
      <x:c r="D231" s="189" t="n">
        <x:v>0.9</x:v>
      </x:c>
      <x:c r="E231" s="189" t="n">
        <x:v>1.1</x:v>
      </x:c>
      <x:c r="F231" s="189" t="n">
        <x:f>MAX(MIN('詳細設定'!$D$15+-0.05,1),0)</x:f>
        <x:v>0.35000000000000003</x:v>
      </x:c>
      <x:c r="G231" s="563" t="n">
        <x:f>'_計算月次'!$J$15</x:f>
        <x:v>398.45169764745054</x:v>
      </x:c>
      <x:c r="H231" s="563" t="n">
        <x:f>'_計算月次'!$K$15</x:f>
        <x:v>360</x:v>
      </x:c>
      <x:c r="I231" s="563" t="n">
        <x:f>(1-MAX(MIN('詳細設定'!$D$16,0.999999),0))^(B231-1)</x:f>
        <x:v>1</x:v>
      </x:c>
      <x:c r="J231" s="563" t="n">
        <x:f>MAX(G231*D231*I231,0)</x:f>
        <x:v>358.6065278827055</x:v>
      </x:c>
      <x:c r="K231" s="563" t="n">
        <x:f>MAX(MIN(J231*F231,H231),0)</x:f>
        <x:v>125.51228475894693</x:v>
      </x:c>
      <x:c r="L231" s="563" t="n">
        <x:f>MAX(J231-K231,0)</x:f>
        <x:v>233.0942431237586</x:v>
      </x:c>
      <x:c r="M231" s="185" t="n">
        <x:f>MAX('詳細設定'!$D$6,0)*(1+'詳細設定'!$D$21)^(B231-1)</x:f>
        <x:v>41.865161649033276</x:v>
      </x:c>
      <x:c r="N231" s="185" t="n">
        <x:f>IF(B231&lt;=MAX(MIN('詳細設定'!$D$8,20),0),MAX('詳細設定'!$D$7,0),IF(B231&lt;=MAX(MIN('詳細設定'!$D$10,20),0),MAX('詳細設定'!$D$9,0),MAX('詳細設定'!$D$11,0)))</x:f>
        <x:v>8.3</x:v>
      </x:c>
      <x:c r="O231" s="190" t="n">
        <x:f>K231*M231</x:f>
        <x:v>5254.592090372809</x:v>
      </x:c>
      <x:c r="P231" s="190" t="n">
        <x:f>L231*N231</x:f>
        <x:v>1934.6822179271965</x:v>
      </x:c>
      <x:c r="Q231" s="190" t="n">
        <x:f>O231+P231</x:f>
        <x:v>7189.274308300006</x:v>
      </x:c>
      <x:c r="R231" s="196" t="n">
        <x:f>J231-K231-L231</x:f>
        <x:v>0</x:v>
      </x:c>
    </x:row>
    <x:row r="232">
      <x:c r="A232" s="20" t="str">
        <x:v>慎重</x:v>
      </x:c>
      <x:c r="B232" s="20" t="n">
        <x:v>19</x:v>
      </x:c>
      <x:c r="C232" s="20" t="n">
        <x:v>12</x:v>
      </x:c>
      <x:c r="D232" s="189" t="n">
        <x:v>0.9</x:v>
      </x:c>
      <x:c r="E232" s="189" t="n">
        <x:v>1.1</x:v>
      </x:c>
      <x:c r="F232" s="189" t="n">
        <x:f>MAX(MIN('詳細設定'!$D$15+-0.05,1),0)</x:f>
        <x:v>0.35000000000000003</x:v>
      </x:c>
      <x:c r="G232" s="563" t="n">
        <x:f>'_計算月次'!$J$16</x:f>
        <x:v>443.97248688000184</x:v>
      </x:c>
      <x:c r="H232" s="563" t="n">
        <x:f>'_計算月次'!$K$16</x:f>
        <x:v>405</x:v>
      </x:c>
      <x:c r="I232" s="563" t="n">
        <x:f>(1-MAX(MIN('詳細設定'!$D$16,0.999999),0))^(B232-1)</x:f>
        <x:v>1</x:v>
      </x:c>
      <x:c r="J232" s="563" t="n">
        <x:f>MAX(G232*D232*I232,0)</x:f>
        <x:v>399.5752381920017</x:v>
      </x:c>
      <x:c r="K232" s="563" t="n">
        <x:f>MAX(MIN(J232*F232,H232),0)</x:f>
        <x:v>139.8513333672006</x:v>
      </x:c>
      <x:c r="L232" s="563" t="n">
        <x:f>MAX(J232-K232,0)</x:f>
        <x:v>259.7239048248011</x:v>
      </x:c>
      <x:c r="M232" s="185" t="n">
        <x:f>MAX('詳細設定'!$D$6,0)*(1+'詳細設定'!$D$21)^(B232-1)</x:f>
        <x:v>41.865161649033276</x:v>
      </x:c>
      <x:c r="N232" s="185" t="n">
        <x:f>IF(B232&lt;=MAX(MIN('詳細設定'!$D$8,20),0),MAX('詳細設定'!$D$7,0),IF(B232&lt;=MAX(MIN('詳細設定'!$D$10,20),0),MAX('詳細設定'!$D$9,0),MAX('詳細設定'!$D$11,0)))</x:f>
        <x:v>8.3</x:v>
      </x:c>
      <x:c r="O232" s="190" t="n">
        <x:f>K232*M232</x:f>
        <x:v>5854.8986782506945</x:v>
      </x:c>
      <x:c r="P232" s="190" t="n">
        <x:f>L232*N232</x:f>
        <x:v>2155.708410045849</x:v>
      </x:c>
      <x:c r="Q232" s="190" t="n">
        <x:f>O232+P232</x:f>
        <x:v>8010.607088296543</x:v>
      </x:c>
      <x:c r="R232" s="196" t="n">
        <x:f>J232-K232-L232</x:f>
        <x:v>0</x:v>
      </x:c>
    </x:row>
    <x:row r="233">
      <x:c r="A233" s="20" t="str">
        <x:v>慎重</x:v>
      </x:c>
      <x:c r="B233" s="20" t="n">
        <x:v>20</x:v>
      </x:c>
      <x:c r="C233" s="20" t="n">
        <x:v>1</x:v>
      </x:c>
      <x:c r="D233" s="189" t="n">
        <x:v>0.9</x:v>
      </x:c>
      <x:c r="E233" s="189" t="n">
        <x:v>1.1</x:v>
      </x:c>
      <x:c r="F233" s="189" t="n">
        <x:f>MAX(MIN('詳細設定'!$D$15+-0.05,1),0)</x:f>
        <x:v>0.35000000000000003</x:v>
      </x:c>
      <x:c r="G233" s="563" t="n">
        <x:f>'_計算月次'!$J$5</x:f>
        <x:v>502.4147595742038</x:v>
      </x:c>
      <x:c r="H233" s="563" t="n">
        <x:f>'_計算月次'!$K$5</x:f>
        <x:v>450</x:v>
      </x:c>
      <x:c r="I233" s="563" t="n">
        <x:f>(1-MAX(MIN('詳細設定'!$D$16,0.999999),0))^(B233-1)</x:f>
        <x:v>1</x:v>
      </x:c>
      <x:c r="J233" s="563" t="n">
        <x:f>MAX(G233*D233*I233,0)</x:f>
        <x:v>452.1732836167834</x:v>
      </x:c>
      <x:c r="K233" s="563" t="n">
        <x:f>MAX(MIN(J233*F233,H233),0)</x:f>
        <x:v>158.2606492658742</x:v>
      </x:c>
      <x:c r="L233" s="563" t="n">
        <x:f>MAX(J233-K233,0)</x:f>
        <x:v>293.91263435090923</x:v>
      </x:c>
      <x:c r="M233" s="185" t="n">
        <x:f>MAX('詳細設定'!$D$6,0)*(1+'詳細設定'!$D$21)^(B233-1)</x:f>
        <x:v>42.283813265523605</x:v>
      </x:c>
      <x:c r="N233" s="185" t="n">
        <x:f>IF(B233&lt;=MAX(MIN('詳細設定'!$D$8,20),0),MAX('詳細設定'!$D$7,0),IF(B233&lt;=MAX(MIN('詳細設定'!$D$10,20),0),MAX('詳細設定'!$D$9,0),MAX('詳細設定'!$D$11,0)))</x:f>
        <x:v>8.3</x:v>
      </x:c>
      <x:c r="O233" s="190" t="n">
        <x:f>K233*M233</x:f>
        <x:v>6691.86374083875</x:v>
      </x:c>
      <x:c r="P233" s="190" t="n">
        <x:f>L233*N233</x:f>
        <x:v>2439.474865112547</x:v>
      </x:c>
      <x:c r="Q233" s="190" t="n">
        <x:f>O233+P233</x:f>
        <x:v>9131.338605951298</x:v>
      </x:c>
      <x:c r="R233" s="196" t="n">
        <x:f>J233-K233-L233</x:f>
        <x:v>0</x:v>
      </x:c>
    </x:row>
    <x:row r="234">
      <x:c r="A234" s="20" t="str">
        <x:v>慎重</x:v>
      </x:c>
      <x:c r="B234" s="20" t="n">
        <x:v>20</x:v>
      </x:c>
      <x:c r="C234" s="20" t="n">
        <x:v>2</x:v>
      </x:c>
      <x:c r="D234" s="189" t="n">
        <x:v>0.9</x:v>
      </x:c>
      <x:c r="E234" s="189" t="n">
        <x:v>1.1</x:v>
      </x:c>
      <x:c r="F234" s="189" t="n">
        <x:f>MAX(MIN('詳細設定'!$D$15+-0.05,1),0)</x:f>
        <x:v>0.35000000000000003</x:v>
      </x:c>
      <x:c r="G234" s="563" t="n">
        <x:f>'_計算月次'!$J$6</x:f>
        <x:v>472.4508339500229</x:v>
      </x:c>
      <x:c r="H234" s="563" t="n">
        <x:f>'_計算月次'!$K$6</x:f>
        <x:v>405</x:v>
      </x:c>
      <x:c r="I234" s="563" t="n">
        <x:f>(1-MAX(MIN('詳細設定'!$D$16,0.999999),0))^(B234-1)</x:f>
        <x:v>1</x:v>
      </x:c>
      <x:c r="J234" s="563" t="n">
        <x:f>MAX(G234*D234*I234,0)</x:f>
        <x:v>425.20575055502064</x:v>
      </x:c>
      <x:c r="K234" s="563" t="n">
        <x:f>MAX(MIN(J234*F234,H234),0)</x:f>
        <x:v>148.82201269425724</x:v>
      </x:c>
      <x:c r="L234" s="563" t="n">
        <x:f>MAX(J234-K234,0)</x:f>
        <x:v>276.3837378607634</x:v>
      </x:c>
      <x:c r="M234" s="185" t="n">
        <x:f>MAX('詳細設定'!$D$6,0)*(1+'詳細設定'!$D$21)^(B234-1)</x:f>
        <x:v>42.283813265523605</x:v>
      </x:c>
      <x:c r="N234" s="185" t="n">
        <x:f>IF(B234&lt;=MAX(MIN('詳細設定'!$D$8,20),0),MAX('詳細設定'!$D$7,0),IF(B234&lt;=MAX(MIN('詳細設定'!$D$10,20),0),MAX('詳細設定'!$D$9,0),MAX('詳細設定'!$D$11,0)))</x:f>
        <x:v>8.3</x:v>
      </x:c>
      <x:c r="O234" s="190" t="n">
        <x:f>K234*M234</x:f>
        <x:v>6292.762194563356</x:v>
      </x:c>
      <x:c r="P234" s="190" t="n">
        <x:f>L234*N234</x:f>
        <x:v>2293.9850242443363</x:v>
      </x:c>
      <x:c r="Q234" s="190" t="n">
        <x:f>O234+P234</x:f>
        <x:v>8586.747218807694</x:v>
      </x:c>
      <x:c r="R234" s="196" t="n">
        <x:f>J234-K234-L234</x:f>
        <x:v>0</x:v>
      </x:c>
    </x:row>
    <x:row r="235">
      <x:c r="A235" s="20" t="str">
        <x:v>慎重</x:v>
      </x:c>
      <x:c r="B235" s="20" t="n">
        <x:v>20</x:v>
      </x:c>
      <x:c r="C235" s="20" t="n">
        <x:v>3</x:v>
      </x:c>
      <x:c r="D235" s="189" t="n">
        <x:v>0.9</x:v>
      </x:c>
      <x:c r="E235" s="189" t="n">
        <x:v>1.1</x:v>
      </x:c>
      <x:c r="F235" s="189" t="n">
        <x:f>MAX(MIN('詳細設定'!$D$15+-0.05,1),0)</x:f>
        <x:v>0.35000000000000003</x:v>
      </x:c>
      <x:c r="G235" s="563" t="n">
        <x:f>'_計算月次'!$J$7</x:f>
        <x:v>548.3418864753118</x:v>
      </x:c>
      <x:c r="H235" s="563" t="n">
        <x:f>'_計算月次'!$K$7</x:f>
        <x:v>360</x:v>
      </x:c>
      <x:c r="I235" s="563" t="n">
        <x:f>(1-MAX(MIN('詳細設定'!$D$16,0.999999),0))^(B235-1)</x:f>
        <x:v>1</x:v>
      </x:c>
      <x:c r="J235" s="563" t="n">
        <x:f>MAX(G235*D235*I235,0)</x:f>
        <x:v>493.5076978277806</x:v>
      </x:c>
      <x:c r="K235" s="563" t="n">
        <x:f>MAX(MIN(J235*F235,H235),0)</x:f>
        <x:v>172.72769423972323</x:v>
      </x:c>
      <x:c r="L235" s="563" t="n">
        <x:f>MAX(J235-K235,0)</x:f>
        <x:v>320.78000358805735</x:v>
      </x:c>
      <x:c r="M235" s="185" t="n">
        <x:f>MAX('詳細設定'!$D$6,0)*(1+'詳細設定'!$D$21)^(B235-1)</x:f>
        <x:v>42.283813265523605</x:v>
      </x:c>
      <x:c r="N235" s="185" t="n">
        <x:f>IF(B235&lt;=MAX(MIN('詳細設定'!$D$8,20),0),MAX('詳細設定'!$D$7,0),IF(B235&lt;=MAX(MIN('詳細設定'!$D$10,20),0),MAX('詳細設定'!$D$9,0),MAX('詳細設定'!$D$11,0)))</x:f>
        <x:v>8.3</x:v>
      </x:c>
      <x:c r="O235" s="190" t="n">
        <x:f>K235*M235</x:f>
        <x:v>7303.585569016915</x:v>
      </x:c>
      <x:c r="P235" s="190" t="n">
        <x:f>L235*N235</x:f>
        <x:v>2662.474029780876</x:v>
      </x:c>
      <x:c r="Q235" s="190" t="n">
        <x:f>O235+P235</x:f>
        <x:v>9966.05959879779</x:v>
      </x:c>
      <x:c r="R235" s="196" t="n">
        <x:f>J235-K235-L235</x:f>
        <x:v>0</x:v>
      </x:c>
    </x:row>
    <x:row r="236">
      <x:c r="A236" s="20" t="str">
        <x:v>慎重</x:v>
      </x:c>
      <x:c r="B236" s="20" t="n">
        <x:v>20</x:v>
      </x:c>
      <x:c r="C236" s="20" t="n">
        <x:v>4</x:v>
      </x:c>
      <x:c r="D236" s="189" t="n">
        <x:v>0.9</x:v>
      </x:c>
      <x:c r="E236" s="189" t="n">
        <x:v>1.1</x:v>
      </x:c>
      <x:c r="F236" s="189" t="n">
        <x:f>MAX(MIN('詳細設定'!$D$15+-0.05,1),0)</x:f>
        <x:v>0.35000000000000003</x:v>
      </x:c>
      <x:c r="G236" s="563" t="n">
        <x:f>'_計算月次'!$J$8</x:f>
        <x:v>548.3944393749554</x:v>
      </x:c>
      <x:c r="H236" s="563" t="n">
        <x:f>'_計算月次'!$K$8</x:f>
        <x:v>315.00000000000006</x:v>
      </x:c>
      <x:c r="I236" s="563" t="n">
        <x:f>(1-MAX(MIN('詳細設定'!$D$16,0.999999),0))^(B236-1)</x:f>
        <x:v>1</x:v>
      </x:c>
      <x:c r="J236" s="563" t="n">
        <x:f>MAX(G236*D236*I236,0)</x:f>
        <x:v>493.55499543745987</x:v>
      </x:c>
      <x:c r="K236" s="563" t="n">
        <x:f>MAX(MIN(J236*F236,H236),0)</x:f>
        <x:v>172.74424840311096</x:v>
      </x:c>
      <x:c r="L236" s="563" t="n">
        <x:f>MAX(J236-K236,0)</x:f>
        <x:v>320.8107470343489</x:v>
      </x:c>
      <x:c r="M236" s="185" t="n">
        <x:f>MAX('詳細設定'!$D$6,0)*(1+'詳細設定'!$D$21)^(B236-1)</x:f>
        <x:v>42.283813265523605</x:v>
      </x:c>
      <x:c r="N236" s="185" t="n">
        <x:f>IF(B236&lt;=MAX(MIN('詳細設定'!$D$8,20),0),MAX('詳細設定'!$D$7,0),IF(B236&lt;=MAX(MIN('詳細設定'!$D$10,20),0),MAX('詳細設定'!$D$9,0),MAX('詳細設定'!$D$11,0)))</x:f>
        <x:v>8.3</x:v>
      </x:c>
      <x:c r="O236" s="190" t="n">
        <x:f>K236*M236</x:f>
        <x:v>7304.285542170368</x:v>
      </x:c>
      <x:c r="P236" s="190" t="n">
        <x:f>L236*N236</x:f>
        <x:v>2662.7292003850957</x:v>
      </x:c>
      <x:c r="Q236" s="190" t="n">
        <x:f>O236+P236</x:f>
        <x:v>9967.014742555464</x:v>
      </x:c>
      <x:c r="R236" s="196" t="n">
        <x:f>J236-K236-L236</x:f>
        <x:v>0</x:v>
      </x:c>
    </x:row>
    <x:row r="237">
      <x:c r="A237" s="20" t="str">
        <x:v>慎重</x:v>
      </x:c>
      <x:c r="B237" s="20" t="n">
        <x:v>20</x:v>
      </x:c>
      <x:c r="C237" s="20" t="n">
        <x:v>5</x:v>
      </x:c>
      <x:c r="D237" s="189" t="n">
        <x:v>0.9</x:v>
      </x:c>
      <x:c r="E237" s="189" t="n">
        <x:v>1.1</x:v>
      </x:c>
      <x:c r="F237" s="189" t="n">
        <x:f>MAX(MIN('詳細設定'!$D$15+-0.05,1),0)</x:f>
        <x:v>0.35000000000000003</x:v>
      </x:c>
      <x:c r="G237" s="563" t="n">
        <x:f>'_計算月次'!$J$9</x:f>
        <x:v>552.2367574934775</x:v>
      </x:c>
      <x:c r="H237" s="563" t="n">
        <x:f>'_計算月次'!$K$9</x:f>
        <x:v>315.00000000000006</x:v>
      </x:c>
      <x:c r="I237" s="563" t="n">
        <x:f>(1-MAX(MIN('詳細設定'!$D$16,0.999999),0))^(B237-1)</x:f>
        <x:v>1</x:v>
      </x:c>
      <x:c r="J237" s="563" t="n">
        <x:f>MAX(G237*D237*I237,0)</x:f>
        <x:v>497.01308174412975</x:v>
      </x:c>
      <x:c r="K237" s="563" t="n">
        <x:f>MAX(MIN(J237*F237,H237),0)</x:f>
        <x:v>173.95457861044542</x:v>
      </x:c>
      <x:c r="L237" s="563" t="n">
        <x:f>MAX(J237-K237,0)</x:f>
        <x:v>323.0585031336843</x:v>
      </x:c>
      <x:c r="M237" s="185" t="n">
        <x:f>MAX('詳細設定'!$D$6,0)*(1+'詳細設定'!$D$21)^(B237-1)</x:f>
        <x:v>42.283813265523605</x:v>
      </x:c>
      <x:c r="N237" s="185" t="n">
        <x:f>IF(B237&lt;=MAX(MIN('詳細設定'!$D$8,20),0),MAX('詳細設定'!$D$7,0),IF(B237&lt;=MAX(MIN('詳細設定'!$D$10,20),0),MAX('詳細設定'!$D$9,0),MAX('詳細設定'!$D$11,0)))</x:f>
        <x:v>8.3</x:v>
      </x:c>
      <x:c r="O237" s="190" t="n">
        <x:f>K237*M237</x:f>
        <x:v>7355.462918646921</x:v>
      </x:c>
      <x:c r="P237" s="190" t="n">
        <x:f>L237*N237</x:f>
        <x:v>2681.3855760095803</x:v>
      </x:c>
      <x:c r="Q237" s="190" t="n">
        <x:f>O237+P237</x:f>
        <x:v>10036.8484946565</x:v>
      </x:c>
      <x:c r="R237" s="196" t="n">
        <x:f>J237-K237-L237</x:f>
        <x:v>0</x:v>
      </x:c>
    </x:row>
    <x:row r="238">
      <x:c r="A238" s="20" t="str">
        <x:v>慎重</x:v>
      </x:c>
      <x:c r="B238" s="20" t="n">
        <x:v>20</x:v>
      </x:c>
      <x:c r="C238" s="20" t="n">
        <x:v>6</x:v>
      </x:c>
      <x:c r="D238" s="189" t="n">
        <x:v>0.9</x:v>
      </x:c>
      <x:c r="E238" s="189" t="n">
        <x:v>1.1</x:v>
      </x:c>
      <x:c r="F238" s="189" t="n">
        <x:f>MAX(MIN('詳細設定'!$D$15+-0.05,1),0)</x:f>
        <x:v>0.35000000000000003</x:v>
      </x:c>
      <x:c r="G238" s="563" t="n">
        <x:f>'_計算月次'!$J$10</x:f>
        <x:v>448.7994857612148</x:v>
      </x:c>
      <x:c r="H238" s="563" t="n">
        <x:f>'_計算月次'!$K$10</x:f>
        <x:v>360</x:v>
      </x:c>
      <x:c r="I238" s="563" t="n">
        <x:f>(1-MAX(MIN('詳細設定'!$D$16,0.999999),0))^(B238-1)</x:f>
        <x:v>1</x:v>
      </x:c>
      <x:c r="J238" s="563" t="n">
        <x:f>MAX(G238*D238*I238,0)</x:f>
        <x:v>403.9195371850933</x:v>
      </x:c>
      <x:c r="K238" s="563" t="n">
        <x:f>MAX(MIN(J238*F238,H238),0)</x:f>
        <x:v>141.37183801478267</x:v>
      </x:c>
      <x:c r="L238" s="563" t="n">
        <x:f>MAX(J238-K238,0)</x:f>
        <x:v>262.54769917031064</x:v>
      </x:c>
      <x:c r="M238" s="185" t="n">
        <x:f>MAX('詳細設定'!$D$6,0)*(1+'詳細設定'!$D$21)^(B238-1)</x:f>
        <x:v>42.283813265523605</x:v>
      </x:c>
      <x:c r="N238" s="185" t="n">
        <x:f>IF(B238&lt;=MAX(MIN('詳細設定'!$D$8,20),0),MAX('詳細設定'!$D$7,0),IF(B238&lt;=MAX(MIN('詳細設定'!$D$10,20),0),MAX('詳細設定'!$D$9,0),MAX('詳細設定'!$D$11,0)))</x:f>
        <x:v>8.3</x:v>
      </x:c>
      <x:c r="O238" s="190" t="n">
        <x:f>K238*M238</x:f>
        <x:v>5977.740399620921</x:v>
      </x:c>
      <x:c r="P238" s="190" t="n">
        <x:f>L238*N238</x:f>
        <x:v>2179.1459031135782</x:v>
      </x:c>
      <x:c r="Q238" s="190" t="n">
        <x:f>O238+P238</x:f>
        <x:v>8156.8863027345</x:v>
      </x:c>
      <x:c r="R238" s="196" t="n">
        <x:f>J238-K238-L238</x:f>
        <x:v>0</x:v>
      </x:c>
    </x:row>
    <x:row r="239">
      <x:c r="A239" s="20" t="str">
        <x:v>慎重</x:v>
      </x:c>
      <x:c r="B239" s="20" t="n">
        <x:v>20</x:v>
      </x:c>
      <x:c r="C239" s="20" t="n">
        <x:v>7</x:v>
      </x:c>
      <x:c r="D239" s="189" t="n">
        <x:v>0.9</x:v>
      </x:c>
      <x:c r="E239" s="189" t="n">
        <x:v>1.1</x:v>
      </x:c>
      <x:c r="F239" s="189" t="n">
        <x:f>MAX(MIN('詳細設定'!$D$15+-0.05,1),0)</x:f>
        <x:v>0.35000000000000003</x:v>
      </x:c>
      <x:c r="G239" s="563" t="n">
        <x:f>'_計算月次'!$J$11</x:f>
        <x:v>476.0181638067866</x:v>
      </x:c>
      <x:c r="H239" s="563" t="n">
        <x:f>'_計算月次'!$K$11</x:f>
        <x:v>405</x:v>
      </x:c>
      <x:c r="I239" s="563" t="n">
        <x:f>(1-MAX(MIN('詳細設定'!$D$16,0.999999),0))^(B239-1)</x:f>
        <x:v>1</x:v>
      </x:c>
      <x:c r="J239" s="563" t="n">
        <x:f>MAX(G239*D239*I239,0)</x:f>
        <x:v>428.41634742610796</x:v>
      </x:c>
      <x:c r="K239" s="563" t="n">
        <x:f>MAX(MIN(J239*F239,H239),0)</x:f>
        <x:v>149.9457215991378</x:v>
      </x:c>
      <x:c r="L239" s="563" t="n">
        <x:f>MAX(J239-K239,0)</x:f>
        <x:v>278.47062582697015</x:v>
      </x:c>
      <x:c r="M239" s="185" t="n">
        <x:f>MAX('詳細設定'!$D$6,0)*(1+'詳細設定'!$D$21)^(B239-1)</x:f>
        <x:v>42.283813265523605</x:v>
      </x:c>
      <x:c r="N239" s="185" t="n">
        <x:f>IF(B239&lt;=MAX(MIN('詳細設定'!$D$8,20),0),MAX('詳細設定'!$D$7,0),IF(B239&lt;=MAX(MIN('詳細設定'!$D$10,20),0),MAX('詳細設定'!$D$9,0),MAX('詳細設定'!$D$11,0)))</x:f>
        <x:v>8.3</x:v>
      </x:c>
      <x:c r="O239" s="190" t="n">
        <x:f>K239*M239</x:f>
        <x:v>6340.276892062133</x:v>
      </x:c>
      <x:c r="P239" s="190" t="n">
        <x:f>L239*N239</x:f>
        <x:v>2311.3061943638522</x:v>
      </x:c>
      <x:c r="Q239" s="190" t="n">
        <x:f>O239+P239</x:f>
        <x:v>8651.583086425984</x:v>
      </x:c>
      <x:c r="R239" s="196" t="n">
        <x:f>J239-K239-L239</x:f>
        <x:v>0</x:v>
      </x:c>
    </x:row>
    <x:row r="240">
      <x:c r="A240" s="20" t="str">
        <x:v>慎重</x:v>
      </x:c>
      <x:c r="B240" s="20" t="n">
        <x:v>20</x:v>
      </x:c>
      <x:c r="C240" s="20" t="n">
        <x:v>8</x:v>
      </x:c>
      <x:c r="D240" s="189" t="n">
        <x:v>0.9</x:v>
      </x:c>
      <x:c r="E240" s="189" t="n">
        <x:v>1.1</x:v>
      </x:c>
      <x:c r="F240" s="189" t="n">
        <x:f>MAX(MIN('詳細設定'!$D$15+-0.05,1),0)</x:f>
        <x:v>0.35000000000000003</x:v>
      </x:c>
      <x:c r="G240" s="563" t="n">
        <x:f>'_計算月次'!$J$12</x:f>
        <x:v>528.6548067323699</x:v>
      </x:c>
      <x:c r="H240" s="563" t="n">
        <x:f>'_計算月次'!$K$12</x:f>
        <x:v>450</x:v>
      </x:c>
      <x:c r="I240" s="563" t="n">
        <x:f>(1-MAX(MIN('詳細設定'!$D$16,0.999999),0))^(B240-1)</x:f>
        <x:v>1</x:v>
      </x:c>
      <x:c r="J240" s="563" t="n">
        <x:f>MAX(G240*D240*I240,0)</x:f>
        <x:v>475.789326059133</x:v>
      </x:c>
      <x:c r="K240" s="563" t="n">
        <x:f>MAX(MIN(J240*F240,H240),0)</x:f>
        <x:v>166.52626412069657</x:v>
      </x:c>
      <x:c r="L240" s="563" t="n">
        <x:f>MAX(J240-K240,0)</x:f>
        <x:v>309.2630619384364</x:v>
      </x:c>
      <x:c r="M240" s="185" t="n">
        <x:f>MAX('詳細設定'!$D$6,0)*(1+'詳細設定'!$D$21)^(B240-1)</x:f>
        <x:v>42.283813265523605</x:v>
      </x:c>
      <x:c r="N240" s="185" t="n">
        <x:f>IF(B240&lt;=MAX(MIN('詳細設定'!$D$8,20),0),MAX('詳細設定'!$D$7,0),IF(B240&lt;=MAX(MIN('詳細設定'!$D$10,20),0),MAX('詳細設定'!$D$9,0),MAX('詳細設定'!$D$11,0)))</x:f>
        <x:v>8.3</x:v>
      </x:c>
      <x:c r="O240" s="190" t="n">
        <x:f>K240*M240</x:f>
        <x:v>7041.3654558847975</x:v>
      </x:c>
      <x:c r="P240" s="190" t="n">
        <x:f>L240*N240</x:f>
        <x:v>2566.8834140890226</x:v>
      </x:c>
      <x:c r="Q240" s="190" t="n">
        <x:f>O240+P240</x:f>
        <x:v>9608.24886997382</x:v>
      </x:c>
      <x:c r="R240" s="196" t="n">
        <x:f>J240-K240-L240</x:f>
        <x:v>0</x:v>
      </x:c>
    </x:row>
    <x:row r="241">
      <x:c r="A241" s="20" t="str">
        <x:v>慎重</x:v>
      </x:c>
      <x:c r="B241" s="20" t="n">
        <x:v>20</x:v>
      </x:c>
      <x:c r="C241" s="20" t="n">
        <x:v>9</x:v>
      </x:c>
      <x:c r="D241" s="189" t="n">
        <x:v>0.9</x:v>
      </x:c>
      <x:c r="E241" s="189" t="n">
        <x:v>1.1</x:v>
      </x:c>
      <x:c r="F241" s="189" t="n">
        <x:f>MAX(MIN('詳細設定'!$D$15+-0.05,1),0)</x:f>
        <x:v>0.35000000000000003</x:v>
      </x:c>
      <x:c r="G241" s="563" t="n">
        <x:f>'_計算月次'!$J$13</x:f>
        <x:v>436.37734765103465</x:v>
      </x:c>
      <x:c r="H241" s="563" t="n">
        <x:f>'_計算月次'!$K$13</x:f>
        <x:v>360</x:v>
      </x:c>
      <x:c r="I241" s="563" t="n">
        <x:f>(1-MAX(MIN('詳細設定'!$D$16,0.999999),0))^(B241-1)</x:f>
        <x:v>1</x:v>
      </x:c>
      <x:c r="J241" s="563" t="n">
        <x:f>MAX(G241*D241*I241,0)</x:f>
        <x:v>392.7396128859312</x:v>
      </x:c>
      <x:c r="K241" s="563" t="n">
        <x:f>MAX(MIN(J241*F241,H241),0)</x:f>
        <x:v>137.45886451007593</x:v>
      </x:c>
      <x:c r="L241" s="563" t="n">
        <x:f>MAX(J241-K241,0)</x:f>
        <x:v>255.28074837585527</x:v>
      </x:c>
      <x:c r="M241" s="185" t="n">
        <x:f>MAX('詳細設定'!$D$6,0)*(1+'詳細設定'!$D$21)^(B241-1)</x:f>
        <x:v>42.283813265523605</x:v>
      </x:c>
      <x:c r="N241" s="185" t="n">
        <x:f>IF(B241&lt;=MAX(MIN('詳細設定'!$D$8,20),0),MAX('詳細設定'!$D$7,0),IF(B241&lt;=MAX(MIN('詳細設定'!$D$10,20),0),MAX('詳細設定'!$D$9,0),MAX('詳細設定'!$D$11,0)))</x:f>
        <x:v>8.3</x:v>
      </x:c>
      <x:c r="O241" s="190" t="n">
        <x:f>K241*M241</x:f>
        <x:v>5812.28495863496</x:v>
      </x:c>
      <x:c r="P241" s="190" t="n">
        <x:f>L241*N241</x:f>
        <x:v>2118.830211519599</x:v>
      </x:c>
      <x:c r="Q241" s="190" t="n">
        <x:f>O241+P241</x:f>
        <x:v>7931.115170154559</x:v>
      </x:c>
      <x:c r="R241" s="196" t="n">
        <x:f>J241-K241-L241</x:f>
        <x:v>0</x:v>
      </x:c>
    </x:row>
    <x:row r="242">
      <x:c r="A242" s="20" t="str">
        <x:v>慎重</x:v>
      </x:c>
      <x:c r="B242" s="20" t="n">
        <x:v>20</x:v>
      </x:c>
      <x:c r="C242" s="20" t="n">
        <x:v>10</x:v>
      </x:c>
      <x:c r="D242" s="189" t="n">
        <x:v>0.9</x:v>
      </x:c>
      <x:c r="E242" s="189" t="n">
        <x:v>1.1</x:v>
      </x:c>
      <x:c r="F242" s="189" t="n">
        <x:f>MAX(MIN('詳細設定'!$D$15+-0.05,1),0)</x:f>
        <x:v>0.35000000000000003</x:v>
      </x:c>
      <x:c r="G242" s="563" t="n">
        <x:f>'_計算月次'!$J$14</x:f>
        <x:v>408.8269849869007</x:v>
      </x:c>
      <x:c r="H242" s="563" t="n">
        <x:f>'_計算月次'!$K$14</x:f>
        <x:v>315.00000000000006</x:v>
      </x:c>
      <x:c r="I242" s="563" t="n">
        <x:f>(1-MAX(MIN('詳細設定'!$D$16,0.999999),0))^(B242-1)</x:f>
        <x:v>1</x:v>
      </x:c>
      <x:c r="J242" s="563" t="n">
        <x:f>MAX(G242*D242*I242,0)</x:f>
        <x:v>367.94428648821065</x:v>
      </x:c>
      <x:c r="K242" s="563" t="n">
        <x:f>MAX(MIN(J242*F242,H242),0)</x:f>
        <x:v>128.78050027087374</x:v>
      </x:c>
      <x:c r="L242" s="563" t="n">
        <x:f>MAX(J242-K242,0)</x:f>
        <x:v>239.1637862173369</x:v>
      </x:c>
      <x:c r="M242" s="185" t="n">
        <x:f>MAX('詳細設定'!$D$6,0)*(1+'詳細設定'!$D$21)^(B242-1)</x:f>
        <x:v>42.283813265523605</x:v>
      </x:c>
      <x:c r="N242" s="185" t="n">
        <x:f>IF(B242&lt;=MAX(MIN('詳細設定'!$D$8,20),0),MAX('詳細設定'!$D$7,0),IF(B242&lt;=MAX(MIN('詳細設定'!$D$10,20),0),MAX('詳細設定'!$D$9,0),MAX('詳細設定'!$D$11,0)))</x:f>
        <x:v>8.3</x:v>
      </x:c>
      <x:c r="O242" s="190" t="n">
        <x:f>K242*M242</x:f>
        <x:v>5445.330625694338</x:v>
      </x:c>
      <x:c r="P242" s="190" t="n">
        <x:f>L242*N242</x:f>
        <x:v>1985.0594256038964</x:v>
      </x:c>
      <x:c r="Q242" s="190" t="n">
        <x:f>O242+P242</x:f>
        <x:v>7430.3900512982345</x:v>
      </x:c>
      <x:c r="R242" s="196" t="n">
        <x:f>J242-K242-L242</x:f>
        <x:v>0</x:v>
      </x:c>
    </x:row>
    <x:row r="243">
      <x:c r="A243" s="20" t="str">
        <x:v>慎重</x:v>
      </x:c>
      <x:c r="B243" s="20" t="n">
        <x:v>20</x:v>
      </x:c>
      <x:c r="C243" s="20" t="n">
        <x:v>11</x:v>
      </x:c>
      <x:c r="D243" s="189" t="n">
        <x:v>0.9</x:v>
      </x:c>
      <x:c r="E243" s="189" t="n">
        <x:v>1.1</x:v>
      </x:c>
      <x:c r="F243" s="189" t="n">
        <x:f>MAX(MIN('詳細設定'!$D$15+-0.05,1),0)</x:f>
        <x:v>0.35000000000000003</x:v>
      </x:c>
      <x:c r="G243" s="563" t="n">
        <x:f>'_計算月次'!$J$15</x:f>
        <x:v>398.45169764745054</x:v>
      </x:c>
      <x:c r="H243" s="563" t="n">
        <x:f>'_計算月次'!$K$15</x:f>
        <x:v>360</x:v>
      </x:c>
      <x:c r="I243" s="563" t="n">
        <x:f>(1-MAX(MIN('詳細設定'!$D$16,0.999999),0))^(B243-1)</x:f>
        <x:v>1</x:v>
      </x:c>
      <x:c r="J243" s="563" t="n">
        <x:f>MAX(G243*D243*I243,0)</x:f>
        <x:v>358.6065278827055</x:v>
      </x:c>
      <x:c r="K243" s="563" t="n">
        <x:f>MAX(MIN(J243*F243,H243),0)</x:f>
        <x:v>125.51228475894693</x:v>
      </x:c>
      <x:c r="L243" s="563" t="n">
        <x:f>MAX(J243-K243,0)</x:f>
        <x:v>233.0942431237586</x:v>
      </x:c>
      <x:c r="M243" s="185" t="n">
        <x:f>MAX('詳細設定'!$D$6,0)*(1+'詳細設定'!$D$21)^(B243-1)</x:f>
        <x:v>42.283813265523605</x:v>
      </x:c>
      <x:c r="N243" s="185" t="n">
        <x:f>IF(B243&lt;=MAX(MIN('詳細設定'!$D$8,20),0),MAX('詳細設定'!$D$7,0),IF(B243&lt;=MAX(MIN('詳細設定'!$D$10,20),0),MAX('詳細設定'!$D$9,0),MAX('詳細設定'!$D$11,0)))</x:f>
        <x:v>8.3</x:v>
      </x:c>
      <x:c r="O243" s="190" t="n">
        <x:f>K243*M243</x:f>
        <x:v>5307.138011276536</x:v>
      </x:c>
      <x:c r="P243" s="190" t="n">
        <x:f>L243*N243</x:f>
        <x:v>1934.6822179271965</x:v>
      </x:c>
      <x:c r="Q243" s="190" t="n">
        <x:f>O243+P243</x:f>
        <x:v>7241.820229203733</x:v>
      </x:c>
      <x:c r="R243" s="196" t="n">
        <x:f>J243-K243-L243</x:f>
        <x:v>0</x:v>
      </x:c>
    </x:row>
    <x:row r="244">
      <x:c r="A244" s="20" t="str">
        <x:v>慎重</x:v>
      </x:c>
      <x:c r="B244" s="20" t="n">
        <x:v>20</x:v>
      </x:c>
      <x:c r="C244" s="20" t="n">
        <x:v>12</x:v>
      </x:c>
      <x:c r="D244" s="189" t="n">
        <x:v>0.9</x:v>
      </x:c>
      <x:c r="E244" s="189" t="n">
        <x:v>1.1</x:v>
      </x:c>
      <x:c r="F244" s="189" t="n">
        <x:f>MAX(MIN('詳細設定'!$D$15+-0.05,1),0)</x:f>
        <x:v>0.35000000000000003</x:v>
      </x:c>
      <x:c r="G244" s="563" t="n">
        <x:f>'_計算月次'!$J$16</x:f>
        <x:v>443.97248688000184</x:v>
      </x:c>
      <x:c r="H244" s="563" t="n">
        <x:f>'_計算月次'!$K$16</x:f>
        <x:v>405</x:v>
      </x:c>
      <x:c r="I244" s="563" t="n">
        <x:f>(1-MAX(MIN('詳細設定'!$D$16,0.999999),0))^(B244-1)</x:f>
        <x:v>1</x:v>
      </x:c>
      <x:c r="J244" s="563" t="n">
        <x:f>MAX(G244*D244*I244,0)</x:f>
        <x:v>399.5752381920017</x:v>
      </x:c>
      <x:c r="K244" s="563" t="n">
        <x:f>MAX(MIN(J244*F244,H244),0)</x:f>
        <x:v>139.8513333672006</x:v>
      </x:c>
      <x:c r="L244" s="563" t="n">
        <x:f>MAX(J244-K244,0)</x:f>
        <x:v>259.7239048248011</x:v>
      </x:c>
      <x:c r="M244" s="185" t="n">
        <x:f>MAX('詳細設定'!$D$6,0)*(1+'詳細設定'!$D$21)^(B244-1)</x:f>
        <x:v>42.283813265523605</x:v>
      </x:c>
      <x:c r="N244" s="185" t="n">
        <x:f>IF(B244&lt;=MAX(MIN('詳細設定'!$D$8,20),0),MAX('詳細設定'!$D$7,0),IF(B244&lt;=MAX(MIN('詳細設定'!$D$10,20),0),MAX('詳細設定'!$D$9,0),MAX('詳細設定'!$D$11,0)))</x:f>
        <x:v>8.3</x:v>
      </x:c>
      <x:c r="O244" s="190" t="n">
        <x:f>K244*M244</x:f>
        <x:v>5913.447665033201</x:v>
      </x:c>
      <x:c r="P244" s="190" t="n">
        <x:f>L244*N244</x:f>
        <x:v>2155.708410045849</x:v>
      </x:c>
      <x:c r="Q244" s="190" t="n">
        <x:f>O244+P244</x:f>
        <x:v>8069.15607507905</x:v>
      </x:c>
      <x:c r="R244" s="196" t="n">
        <x:f>J244-K244-L244</x:f>
        <x:v>0</x:v>
      </x:c>
    </x:row>
    <x:row r="245">
      <x:c r="A245" s="20" t="str">
        <x:v>標準</x:v>
      </x:c>
      <x:c r="B245" s="20" t="n">
        <x:v>1</x:v>
      </x:c>
      <x:c r="C245" s="20" t="n">
        <x:v>1</x:v>
      </x:c>
      <x:c r="D245" s="189" t="n">
        <x:v>1</x:v>
      </x:c>
      <x:c r="E245" s="189" t="n">
        <x:v>1</x:v>
      </x:c>
      <x:c r="F245" s="189" t="n">
        <x:f>MAX(MIN('詳細設定'!$D$15+0,1),0)</x:f>
        <x:v>0.4</x:v>
      </x:c>
      <x:c r="G245" s="563" t="n">
        <x:f>'_計算月次'!$J$5</x:f>
        <x:v>502.4147595742038</x:v>
      </x:c>
      <x:c r="H245" s="563" t="n">
        <x:f>'_計算月次'!$K$5</x:f>
        <x:v>450</x:v>
      </x:c>
      <x:c r="I245" s="563" t="n">
        <x:f>(1-MAX(MIN('詳細設定'!$D$16,0.999999),0))^(B245-1)</x:f>
        <x:v>1</x:v>
      </x:c>
      <x:c r="J245" s="563" t="n">
        <x:f>MAX(G245*D245*I245,0)</x:f>
        <x:v>502.4147595742038</x:v>
      </x:c>
      <x:c r="K245" s="563" t="n">
        <x:f>MAX(MIN(J245*F245,H245),0)</x:f>
        <x:v>200.96590382968154</x:v>
      </x:c>
      <x:c r="L245" s="563" t="n">
        <x:f>MAX(J245-K245,0)</x:f>
        <x:v>301.44885574452223</x:v>
      </x:c>
      <x:c r="M245" s="185" t="n">
        <x:f>MAX('詳細設定'!$D$6,0)*(1+'詳細設定'!$D$21)^(B245-1)</x:f>
        <x:v>35</x:v>
      </x:c>
      <x:c r="N245" s="185" t="n">
        <x:f>IF(B245&lt;=MAX(MIN('詳細設定'!$D$8,20),0),MAX('詳細設定'!$D$7,0),IF(B245&lt;=MAX(MIN('詳細設定'!$D$10,20),0),MAX('詳細設定'!$D$9,0),MAX('詳細設定'!$D$11,0)))</x:f>
        <x:v>24</x:v>
      </x:c>
      <x:c r="O245" s="190" t="n">
        <x:f>K245*M245</x:f>
        <x:v>7033.806634038854</x:v>
      </x:c>
      <x:c r="P245" s="190" t="n">
        <x:f>L245*N245</x:f>
        <x:v>7234.772537868534</x:v>
      </x:c>
      <x:c r="Q245" s="190" t="n">
        <x:f>O245+P245</x:f>
        <x:v>14268.579171907388</x:v>
      </x:c>
      <x:c r="R245" s="196" t="n">
        <x:f>J245-K245-L245</x:f>
        <x:v>0</x:v>
      </x:c>
    </x:row>
    <x:row r="246">
      <x:c r="A246" s="20" t="str">
        <x:v>標準</x:v>
      </x:c>
      <x:c r="B246" s="20" t="n">
        <x:v>1</x:v>
      </x:c>
      <x:c r="C246" s="20" t="n">
        <x:v>2</x:v>
      </x:c>
      <x:c r="D246" s="189" t="n">
        <x:v>1</x:v>
      </x:c>
      <x:c r="E246" s="189" t="n">
        <x:v>1</x:v>
      </x:c>
      <x:c r="F246" s="189" t="n">
        <x:f>MAX(MIN('詳細設定'!$D$15+0,1),0)</x:f>
        <x:v>0.4</x:v>
      </x:c>
      <x:c r="G246" s="563" t="n">
        <x:f>'_計算月次'!$J$6</x:f>
        <x:v>472.4508339500229</x:v>
      </x:c>
      <x:c r="H246" s="563" t="n">
        <x:f>'_計算月次'!$K$6</x:f>
        <x:v>405</x:v>
      </x:c>
      <x:c r="I246" s="563" t="n">
        <x:f>(1-MAX(MIN('詳細設定'!$D$16,0.999999),0))^(B246-1)</x:f>
        <x:v>1</x:v>
      </x:c>
      <x:c r="J246" s="563" t="n">
        <x:f>MAX(G246*D246*I246,0)</x:f>
        <x:v>472.4508339500229</x:v>
      </x:c>
      <x:c r="K246" s="563" t="n">
        <x:f>MAX(MIN(J246*F246,H246),0)</x:f>
        <x:v>188.9803335800092</x:v>
      </x:c>
      <x:c r="L246" s="563" t="n">
        <x:f>MAX(J246-K246,0)</x:f>
        <x:v>283.4705003700137</x:v>
      </x:c>
      <x:c r="M246" s="185" t="n">
        <x:f>MAX('詳細設定'!$D$6,0)*(1+'詳細設定'!$D$21)^(B246-1)</x:f>
        <x:v>35</x:v>
      </x:c>
      <x:c r="N246" s="185" t="n">
        <x:f>IF(B246&lt;=MAX(MIN('詳細設定'!$D$8,20),0),MAX('詳細設定'!$D$7,0),IF(B246&lt;=MAX(MIN('詳細設定'!$D$10,20),0),MAX('詳細設定'!$D$9,0),MAX('詳細設定'!$D$11,0)))</x:f>
        <x:v>24</x:v>
      </x:c>
      <x:c r="O246" s="190" t="n">
        <x:f>K246*M246</x:f>
        <x:v>6614.311675300321</x:v>
      </x:c>
      <x:c r="P246" s="190" t="n">
        <x:f>L246*N246</x:f>
        <x:v>6803.292008880329</x:v>
      </x:c>
      <x:c r="Q246" s="190" t="n">
        <x:f>O246+P246</x:f>
        <x:v>13417.60368418065</x:v>
      </x:c>
      <x:c r="R246" s="196" t="n">
        <x:f>J246-K246-L246</x:f>
        <x:v>0</x:v>
      </x:c>
    </x:row>
    <x:row r="247">
      <x:c r="A247" s="20" t="str">
        <x:v>標準</x:v>
      </x:c>
      <x:c r="B247" s="20" t="n">
        <x:v>1</x:v>
      </x:c>
      <x:c r="C247" s="20" t="n">
        <x:v>3</x:v>
      </x:c>
      <x:c r="D247" s="189" t="n">
        <x:v>1</x:v>
      </x:c>
      <x:c r="E247" s="189" t="n">
        <x:v>1</x:v>
      </x:c>
      <x:c r="F247" s="189" t="n">
        <x:f>MAX(MIN('詳細設定'!$D$15+0,1),0)</x:f>
        <x:v>0.4</x:v>
      </x:c>
      <x:c r="G247" s="563" t="n">
        <x:f>'_計算月次'!$J$7</x:f>
        <x:v>548.3418864753118</x:v>
      </x:c>
      <x:c r="H247" s="563" t="n">
        <x:f>'_計算月次'!$K$7</x:f>
        <x:v>360</x:v>
      </x:c>
      <x:c r="I247" s="563" t="n">
        <x:f>(1-MAX(MIN('詳細設定'!$D$16,0.999999),0))^(B247-1)</x:f>
        <x:v>1</x:v>
      </x:c>
      <x:c r="J247" s="563" t="n">
        <x:f>MAX(G247*D247*I247,0)</x:f>
        <x:v>548.3418864753118</x:v>
      </x:c>
      <x:c r="K247" s="563" t="n">
        <x:f>MAX(MIN(J247*F247,H247),0)</x:f>
        <x:v>219.3367545901247</x:v>
      </x:c>
      <x:c r="L247" s="563" t="n">
        <x:f>MAX(J247-K247,0)</x:f>
        <x:v>329.00513188518704</x:v>
      </x:c>
      <x:c r="M247" s="185" t="n">
        <x:f>MAX('詳細設定'!$D$6,0)*(1+'詳細設定'!$D$21)^(B247-1)</x:f>
        <x:v>35</x:v>
      </x:c>
      <x:c r="N247" s="185" t="n">
        <x:f>IF(B247&lt;=MAX(MIN('詳細設定'!$D$8,20),0),MAX('詳細設定'!$D$7,0),IF(B247&lt;=MAX(MIN('詳細設定'!$D$10,20),0),MAX('詳細設定'!$D$9,0),MAX('詳細設定'!$D$11,0)))</x:f>
        <x:v>24</x:v>
      </x:c>
      <x:c r="O247" s="190" t="n">
        <x:f>K247*M247</x:f>
        <x:v>7676.786410654365</x:v>
      </x:c>
      <x:c r="P247" s="190" t="n">
        <x:f>L247*N247</x:f>
        <x:v>7896.123165244489</x:v>
      </x:c>
      <x:c r="Q247" s="190" t="n">
        <x:f>O247+P247</x:f>
        <x:v>15572.909575898855</x:v>
      </x:c>
      <x:c r="R247" s="196" t="n">
        <x:f>J247-K247-L247</x:f>
        <x:v>0</x:v>
      </x:c>
    </x:row>
    <x:row r="248">
      <x:c r="A248" s="20" t="str">
        <x:v>標準</x:v>
      </x:c>
      <x:c r="B248" s="20" t="n">
        <x:v>1</x:v>
      </x:c>
      <x:c r="C248" s="20" t="n">
        <x:v>4</x:v>
      </x:c>
      <x:c r="D248" s="189" t="n">
        <x:v>1</x:v>
      </x:c>
      <x:c r="E248" s="189" t="n">
        <x:v>1</x:v>
      </x:c>
      <x:c r="F248" s="189" t="n">
        <x:f>MAX(MIN('詳細設定'!$D$15+0,1),0)</x:f>
        <x:v>0.4</x:v>
      </x:c>
      <x:c r="G248" s="563" t="n">
        <x:f>'_計算月次'!$J$8</x:f>
        <x:v>548.3944393749554</x:v>
      </x:c>
      <x:c r="H248" s="563" t="n">
        <x:f>'_計算月次'!$K$8</x:f>
        <x:v>315.00000000000006</x:v>
      </x:c>
      <x:c r="I248" s="563" t="n">
        <x:f>(1-MAX(MIN('詳細設定'!$D$16,0.999999),0))^(B248-1)</x:f>
        <x:v>1</x:v>
      </x:c>
      <x:c r="J248" s="563" t="n">
        <x:f>MAX(G248*D248*I248,0)</x:f>
        <x:v>548.3944393749554</x:v>
      </x:c>
      <x:c r="K248" s="563" t="n">
        <x:f>MAX(MIN(J248*F248,H248),0)</x:f>
        <x:v>219.35777574998215</x:v>
      </x:c>
      <x:c r="L248" s="563" t="n">
        <x:f>MAX(J248-K248,0)</x:f>
        <x:v>329.03666362497324</x:v>
      </x:c>
      <x:c r="M248" s="185" t="n">
        <x:f>MAX('詳細設定'!$D$6,0)*(1+'詳細設定'!$D$21)^(B248-1)</x:f>
        <x:v>35</x:v>
      </x:c>
      <x:c r="N248" s="185" t="n">
        <x:f>IF(B248&lt;=MAX(MIN('詳細設定'!$D$8,20),0),MAX('詳細設定'!$D$7,0),IF(B248&lt;=MAX(MIN('詳細設定'!$D$10,20),0),MAX('詳細設定'!$D$9,0),MAX('詳細設定'!$D$11,0)))</x:f>
        <x:v>24</x:v>
      </x:c>
      <x:c r="O248" s="190" t="n">
        <x:f>K248*M248</x:f>
        <x:v>7677.522151249375</x:v>
      </x:c>
      <x:c r="P248" s="190" t="n">
        <x:f>L248*N248</x:f>
        <x:v>7896.879926999358</x:v>
      </x:c>
      <x:c r="Q248" s="190" t="n">
        <x:f>O248+P248</x:f>
        <x:v>15574.402078248733</x:v>
      </x:c>
      <x:c r="R248" s="196" t="n">
        <x:f>J248-K248-L248</x:f>
        <x:v>0</x:v>
      </x:c>
    </x:row>
    <x:row r="249">
      <x:c r="A249" s="20" t="str">
        <x:v>標準</x:v>
      </x:c>
      <x:c r="B249" s="20" t="n">
        <x:v>1</x:v>
      </x:c>
      <x:c r="C249" s="20" t="n">
        <x:v>5</x:v>
      </x:c>
      <x:c r="D249" s="189" t="n">
        <x:v>1</x:v>
      </x:c>
      <x:c r="E249" s="189" t="n">
        <x:v>1</x:v>
      </x:c>
      <x:c r="F249" s="189" t="n">
        <x:f>MAX(MIN('詳細設定'!$D$15+0,1),0)</x:f>
        <x:v>0.4</x:v>
      </x:c>
      <x:c r="G249" s="563" t="n">
        <x:f>'_計算月次'!$J$9</x:f>
        <x:v>552.2367574934775</x:v>
      </x:c>
      <x:c r="H249" s="563" t="n">
        <x:f>'_計算月次'!$K$9</x:f>
        <x:v>315.00000000000006</x:v>
      </x:c>
      <x:c r="I249" s="563" t="n">
        <x:f>(1-MAX(MIN('詳細設定'!$D$16,0.999999),0))^(B249-1)</x:f>
        <x:v>1</x:v>
      </x:c>
      <x:c r="J249" s="563" t="n">
        <x:f>MAX(G249*D249*I249,0)</x:f>
        <x:v>552.2367574934775</x:v>
      </x:c>
      <x:c r="K249" s="563" t="n">
        <x:f>MAX(MIN(J249*F249,H249),0)</x:f>
        <x:v>220.89470299739102</x:v>
      </x:c>
      <x:c r="L249" s="563" t="n">
        <x:f>MAX(J249-K249,0)</x:f>
        <x:v>331.34205449608646</x:v>
      </x:c>
      <x:c r="M249" s="185" t="n">
        <x:f>MAX('詳細設定'!$D$6,0)*(1+'詳細設定'!$D$21)^(B249-1)</x:f>
        <x:v>35</x:v>
      </x:c>
      <x:c r="N249" s="185" t="n">
        <x:f>IF(B249&lt;=MAX(MIN('詳細設定'!$D$8,20),0),MAX('詳細設定'!$D$7,0),IF(B249&lt;=MAX(MIN('詳細設定'!$D$10,20),0),MAX('詳細設定'!$D$9,0),MAX('詳細設定'!$D$11,0)))</x:f>
        <x:v>24</x:v>
      </x:c>
      <x:c r="O249" s="190" t="n">
        <x:f>K249*M249</x:f>
        <x:v>7731.314604908685</x:v>
      </x:c>
      <x:c r="P249" s="190" t="n">
        <x:f>L249*N249</x:f>
        <x:v>7952.209307906075</x:v>
      </x:c>
      <x:c r="Q249" s="190" t="n">
        <x:f>O249+P249</x:f>
        <x:v>15683.52391281476</x:v>
      </x:c>
      <x:c r="R249" s="196" t="n">
        <x:f>J249-K249-L249</x:f>
        <x:v>0</x:v>
      </x:c>
    </x:row>
    <x:row r="250">
      <x:c r="A250" s="20" t="str">
        <x:v>標準</x:v>
      </x:c>
      <x:c r="B250" s="20" t="n">
        <x:v>1</x:v>
      </x:c>
      <x:c r="C250" s="20" t="n">
        <x:v>6</x:v>
      </x:c>
      <x:c r="D250" s="189" t="n">
        <x:v>1</x:v>
      </x:c>
      <x:c r="E250" s="189" t="n">
        <x:v>1</x:v>
      </x:c>
      <x:c r="F250" s="189" t="n">
        <x:f>MAX(MIN('詳細設定'!$D$15+0,1),0)</x:f>
        <x:v>0.4</x:v>
      </x:c>
      <x:c r="G250" s="563" t="n">
        <x:f>'_計算月次'!$J$10</x:f>
        <x:v>448.7994857612148</x:v>
      </x:c>
      <x:c r="H250" s="563" t="n">
        <x:f>'_計算月次'!$K$10</x:f>
        <x:v>360</x:v>
      </x:c>
      <x:c r="I250" s="563" t="n">
        <x:f>(1-MAX(MIN('詳細設定'!$D$16,0.999999),0))^(B250-1)</x:f>
        <x:v>1</x:v>
      </x:c>
      <x:c r="J250" s="563" t="n">
        <x:f>MAX(G250*D250*I250,0)</x:f>
        <x:v>448.7994857612148</x:v>
      </x:c>
      <x:c r="K250" s="563" t="n">
        <x:f>MAX(MIN(J250*F250,H250),0)</x:f>
        <x:v>179.5197943044859</x:v>
      </x:c>
      <x:c r="L250" s="563" t="n">
        <x:f>MAX(J250-K250,0)</x:f>
        <x:v>269.27969145672887</x:v>
      </x:c>
      <x:c r="M250" s="185" t="n">
        <x:f>MAX('詳細設定'!$D$6,0)*(1+'詳細設定'!$D$21)^(B250-1)</x:f>
        <x:v>35</x:v>
      </x:c>
      <x:c r="N250" s="185" t="n">
        <x:f>IF(B250&lt;=MAX(MIN('詳細設定'!$D$8,20),0),MAX('詳細設定'!$D$7,0),IF(B250&lt;=MAX(MIN('詳細設定'!$D$10,20),0),MAX('詳細設定'!$D$9,0),MAX('詳細設定'!$D$11,0)))</x:f>
        <x:v>24</x:v>
      </x:c>
      <x:c r="O250" s="190" t="n">
        <x:f>K250*M250</x:f>
        <x:v>6283.192800657007</x:v>
      </x:c>
      <x:c r="P250" s="190" t="n">
        <x:f>L250*N250</x:f>
        <x:v>6462.712594961493</x:v>
      </x:c>
      <x:c r="Q250" s="190" t="n">
        <x:f>O250+P250</x:f>
        <x:v>12745.9053956185</x:v>
      </x:c>
      <x:c r="R250" s="196" t="n">
        <x:f>J250-K250-L250</x:f>
        <x:v>0</x:v>
      </x:c>
    </x:row>
    <x:row r="251">
      <x:c r="A251" s="20" t="str">
        <x:v>標準</x:v>
      </x:c>
      <x:c r="B251" s="20" t="n">
        <x:v>1</x:v>
      </x:c>
      <x:c r="C251" s="20" t="n">
        <x:v>7</x:v>
      </x:c>
      <x:c r="D251" s="189" t="n">
        <x:v>1</x:v>
      </x:c>
      <x:c r="E251" s="189" t="n">
        <x:v>1</x:v>
      </x:c>
      <x:c r="F251" s="189" t="n">
        <x:f>MAX(MIN('詳細設定'!$D$15+0,1),0)</x:f>
        <x:v>0.4</x:v>
      </x:c>
      <x:c r="G251" s="563" t="n">
        <x:f>'_計算月次'!$J$11</x:f>
        <x:v>476.0181638067866</x:v>
      </x:c>
      <x:c r="H251" s="563" t="n">
        <x:f>'_計算月次'!$K$11</x:f>
        <x:v>405</x:v>
      </x:c>
      <x:c r="I251" s="563" t="n">
        <x:f>(1-MAX(MIN('詳細設定'!$D$16,0.999999),0))^(B251-1)</x:f>
        <x:v>1</x:v>
      </x:c>
      <x:c r="J251" s="563" t="n">
        <x:f>MAX(G251*D251*I251,0)</x:f>
        <x:v>476.0181638067866</x:v>
      </x:c>
      <x:c r="K251" s="563" t="n">
        <x:f>MAX(MIN(J251*F251,H251),0)</x:f>
        <x:v>190.40726552271465</x:v>
      </x:c>
      <x:c r="L251" s="563" t="n">
        <x:f>MAX(J251-K251,0)</x:f>
        <x:v>285.61089828407194</x:v>
      </x:c>
      <x:c r="M251" s="185" t="n">
        <x:f>MAX('詳細設定'!$D$6,0)*(1+'詳細設定'!$D$21)^(B251-1)</x:f>
        <x:v>35</x:v>
      </x:c>
      <x:c r="N251" s="185" t="n">
        <x:f>IF(B251&lt;=MAX(MIN('詳細設定'!$D$8,20),0),MAX('詳細設定'!$D$7,0),IF(B251&lt;=MAX(MIN('詳細設定'!$D$10,20),0),MAX('詳細設定'!$D$9,0),MAX('詳細設定'!$D$11,0)))</x:f>
        <x:v>24</x:v>
      </x:c>
      <x:c r="O251" s="190" t="n">
        <x:f>K251*M251</x:f>
        <x:v>6664.254293295013</x:v>
      </x:c>
      <x:c r="P251" s="190" t="n">
        <x:f>L251*N251</x:f>
        <x:v>6854.6615588177265</x:v>
      </x:c>
      <x:c r="Q251" s="190" t="n">
        <x:f>O251+P251</x:f>
        <x:v>13518.91585211274</x:v>
      </x:c>
      <x:c r="R251" s="196" t="n">
        <x:f>J251-K251-L251</x:f>
        <x:v>0</x:v>
      </x:c>
    </x:row>
    <x:row r="252">
      <x:c r="A252" s="20" t="str">
        <x:v>標準</x:v>
      </x:c>
      <x:c r="B252" s="20" t="n">
        <x:v>1</x:v>
      </x:c>
      <x:c r="C252" s="20" t="n">
        <x:v>8</x:v>
      </x:c>
      <x:c r="D252" s="189" t="n">
        <x:v>1</x:v>
      </x:c>
      <x:c r="E252" s="189" t="n">
        <x:v>1</x:v>
      </x:c>
      <x:c r="F252" s="189" t="n">
        <x:f>MAX(MIN('詳細設定'!$D$15+0,1),0)</x:f>
        <x:v>0.4</x:v>
      </x:c>
      <x:c r="G252" s="563" t="n">
        <x:f>'_計算月次'!$J$12</x:f>
        <x:v>528.6548067323699</x:v>
      </x:c>
      <x:c r="H252" s="563" t="n">
        <x:f>'_計算月次'!$K$12</x:f>
        <x:v>450</x:v>
      </x:c>
      <x:c r="I252" s="563" t="n">
        <x:f>(1-MAX(MIN('詳細設定'!$D$16,0.999999),0))^(B252-1)</x:f>
        <x:v>1</x:v>
      </x:c>
      <x:c r="J252" s="563" t="n">
        <x:f>MAX(G252*D252*I252,0)</x:f>
        <x:v>528.6548067323699</x:v>
      </x:c>
      <x:c r="K252" s="563" t="n">
        <x:f>MAX(MIN(J252*F252,H252),0)</x:f>
        <x:v>211.46192269294798</x:v>
      </x:c>
      <x:c r="L252" s="563" t="n">
        <x:f>MAX(J252-K252,0)</x:f>
        <x:v>317.192884039422</x:v>
      </x:c>
      <x:c r="M252" s="185" t="n">
        <x:f>MAX('詳細設定'!$D$6,0)*(1+'詳細設定'!$D$21)^(B252-1)</x:f>
        <x:v>35</x:v>
      </x:c>
      <x:c r="N252" s="185" t="n">
        <x:f>IF(B252&lt;=MAX(MIN('詳細設定'!$D$8,20),0),MAX('詳細設定'!$D$7,0),IF(B252&lt;=MAX(MIN('詳細設定'!$D$10,20),0),MAX('詳細設定'!$D$9,0),MAX('詳細設定'!$D$11,0)))</x:f>
        <x:v>24</x:v>
      </x:c>
      <x:c r="O252" s="190" t="n">
        <x:f>K252*M252</x:f>
        <x:v>7401.1672942531795</x:v>
      </x:c>
      <x:c r="P252" s="190" t="n">
        <x:f>L252*N252</x:f>
        <x:v>7612.629216946128</x:v>
      </x:c>
      <x:c r="Q252" s="190" t="n">
        <x:f>O252+P252</x:f>
        <x:v>15013.796511199307</x:v>
      </x:c>
      <x:c r="R252" s="196" t="n">
        <x:f>J252-K252-L252</x:f>
        <x:v>0</x:v>
      </x:c>
    </x:row>
    <x:row r="253">
      <x:c r="A253" s="20" t="str">
        <x:v>標準</x:v>
      </x:c>
      <x:c r="B253" s="20" t="n">
        <x:v>1</x:v>
      </x:c>
      <x:c r="C253" s="20" t="n">
        <x:v>9</x:v>
      </x:c>
      <x:c r="D253" s="189" t="n">
        <x:v>1</x:v>
      </x:c>
      <x:c r="E253" s="189" t="n">
        <x:v>1</x:v>
      </x:c>
      <x:c r="F253" s="189" t="n">
        <x:f>MAX(MIN('詳細設定'!$D$15+0,1),0)</x:f>
        <x:v>0.4</x:v>
      </x:c>
      <x:c r="G253" s="563" t="n">
        <x:f>'_計算月次'!$J$13</x:f>
        <x:v>436.37734765103465</x:v>
      </x:c>
      <x:c r="H253" s="563" t="n">
        <x:f>'_計算月次'!$K$13</x:f>
        <x:v>360</x:v>
      </x:c>
      <x:c r="I253" s="563" t="n">
        <x:f>(1-MAX(MIN('詳細設定'!$D$16,0.999999),0))^(B253-1)</x:f>
        <x:v>1</x:v>
      </x:c>
      <x:c r="J253" s="563" t="n">
        <x:f>MAX(G253*D253*I253,0)</x:f>
        <x:v>436.37734765103465</x:v>
      </x:c>
      <x:c r="K253" s="563" t="n">
        <x:f>MAX(MIN(J253*F253,H253),0)</x:f>
        <x:v>174.55093906041387</x:v>
      </x:c>
      <x:c r="L253" s="563" t="n">
        <x:f>MAX(J253-K253,0)</x:f>
        <x:v>261.82640859062076</x:v>
      </x:c>
      <x:c r="M253" s="185" t="n">
        <x:f>MAX('詳細設定'!$D$6,0)*(1+'詳細設定'!$D$21)^(B253-1)</x:f>
        <x:v>35</x:v>
      </x:c>
      <x:c r="N253" s="185" t="n">
        <x:f>IF(B253&lt;=MAX(MIN('詳細設定'!$D$8,20),0),MAX('詳細設定'!$D$7,0),IF(B253&lt;=MAX(MIN('詳細設定'!$D$10,20),0),MAX('詳細設定'!$D$9,0),MAX('詳細設定'!$D$11,0)))</x:f>
        <x:v>24</x:v>
      </x:c>
      <x:c r="O253" s="190" t="n">
        <x:f>K253*M253</x:f>
        <x:v>6109.282867114485</x:v>
      </x:c>
      <x:c r="P253" s="190" t="n">
        <x:f>L253*N253</x:f>
        <x:v>6283.833806174898</x:v>
      </x:c>
      <x:c r="Q253" s="190" t="n">
        <x:f>O253+P253</x:f>
        <x:v>12393.116673289383</x:v>
      </x:c>
      <x:c r="R253" s="196" t="n">
        <x:f>J253-K253-L253</x:f>
        <x:v>0</x:v>
      </x:c>
    </x:row>
    <x:row r="254">
      <x:c r="A254" s="20" t="str">
        <x:v>標準</x:v>
      </x:c>
      <x:c r="B254" s="20" t="n">
        <x:v>1</x:v>
      </x:c>
      <x:c r="C254" s="20" t="n">
        <x:v>10</x:v>
      </x:c>
      <x:c r="D254" s="189" t="n">
        <x:v>1</x:v>
      </x:c>
      <x:c r="E254" s="189" t="n">
        <x:v>1</x:v>
      </x:c>
      <x:c r="F254" s="189" t="n">
        <x:f>MAX(MIN('詳細設定'!$D$15+0,1),0)</x:f>
        <x:v>0.4</x:v>
      </x:c>
      <x:c r="G254" s="563" t="n">
        <x:f>'_計算月次'!$J$14</x:f>
        <x:v>408.8269849869007</x:v>
      </x:c>
      <x:c r="H254" s="563" t="n">
        <x:f>'_計算月次'!$K$14</x:f>
        <x:v>315.00000000000006</x:v>
      </x:c>
      <x:c r="I254" s="563" t="n">
        <x:f>(1-MAX(MIN('詳細設定'!$D$16,0.999999),0))^(B254-1)</x:f>
        <x:v>1</x:v>
      </x:c>
      <x:c r="J254" s="563" t="n">
        <x:f>MAX(G254*D254*I254,0)</x:f>
        <x:v>408.8269849869007</x:v>
      </x:c>
      <x:c r="K254" s="563" t="n">
        <x:f>MAX(MIN(J254*F254,H254),0)</x:f>
        <x:v>163.5307939947603</x:v>
      </x:c>
      <x:c r="L254" s="563" t="n">
        <x:f>MAX(J254-K254,0)</x:f>
        <x:v>245.2961909921404</x:v>
      </x:c>
      <x:c r="M254" s="185" t="n">
        <x:f>MAX('詳細設定'!$D$6,0)*(1+'詳細設定'!$D$21)^(B254-1)</x:f>
        <x:v>35</x:v>
      </x:c>
      <x:c r="N254" s="185" t="n">
        <x:f>IF(B254&lt;=MAX(MIN('詳細設定'!$D$8,20),0),MAX('詳細設定'!$D$7,0),IF(B254&lt;=MAX(MIN('詳細設定'!$D$10,20),0),MAX('詳細設定'!$D$9,0),MAX('詳細設定'!$D$11,0)))</x:f>
        <x:v>24</x:v>
      </x:c>
      <x:c r="O254" s="190" t="n">
        <x:f>K254*M254</x:f>
        <x:v>5723.577789816611</x:v>
      </x:c>
      <x:c r="P254" s="190" t="n">
        <x:f>L254*N254</x:f>
        <x:v>5887.1085838113695</x:v>
      </x:c>
      <x:c r="Q254" s="190" t="n">
        <x:f>O254+P254</x:f>
        <x:v>11610.686373627981</x:v>
      </x:c>
      <x:c r="R254" s="196" t="n">
        <x:f>J254-K254-L254</x:f>
        <x:v>0</x:v>
      </x:c>
    </x:row>
    <x:row r="255">
      <x:c r="A255" s="20" t="str">
        <x:v>標準</x:v>
      </x:c>
      <x:c r="B255" s="20" t="n">
        <x:v>1</x:v>
      </x:c>
      <x:c r="C255" s="20" t="n">
        <x:v>11</x:v>
      </x:c>
      <x:c r="D255" s="189" t="n">
        <x:v>1</x:v>
      </x:c>
      <x:c r="E255" s="189" t="n">
        <x:v>1</x:v>
      </x:c>
      <x:c r="F255" s="189" t="n">
        <x:f>MAX(MIN('詳細設定'!$D$15+0,1),0)</x:f>
        <x:v>0.4</x:v>
      </x:c>
      <x:c r="G255" s="563" t="n">
        <x:f>'_計算月次'!$J$15</x:f>
        <x:v>398.45169764745054</x:v>
      </x:c>
      <x:c r="H255" s="563" t="n">
        <x:f>'_計算月次'!$K$15</x:f>
        <x:v>360</x:v>
      </x:c>
      <x:c r="I255" s="563" t="n">
        <x:f>(1-MAX(MIN('詳細設定'!$D$16,0.999999),0))^(B255-1)</x:f>
        <x:v>1</x:v>
      </x:c>
      <x:c r="J255" s="563" t="n">
        <x:f>MAX(G255*D255*I255,0)</x:f>
        <x:v>398.45169764745054</x:v>
      </x:c>
      <x:c r="K255" s="563" t="n">
        <x:f>MAX(MIN(J255*F255,H255),0)</x:f>
        <x:v>159.38067905898023</x:v>
      </x:c>
      <x:c r="L255" s="563" t="n">
        <x:f>MAX(J255-K255,0)</x:f>
        <x:v>239.0710185884703</x:v>
      </x:c>
      <x:c r="M255" s="185" t="n">
        <x:f>MAX('詳細設定'!$D$6,0)*(1+'詳細設定'!$D$21)^(B255-1)</x:f>
        <x:v>35</x:v>
      </x:c>
      <x:c r="N255" s="185" t="n">
        <x:f>IF(B255&lt;=MAX(MIN('詳細設定'!$D$8,20),0),MAX('詳細設定'!$D$7,0),IF(B255&lt;=MAX(MIN('詳細設定'!$D$10,20),0),MAX('詳細設定'!$D$9,0),MAX('詳細設定'!$D$11,0)))</x:f>
        <x:v>24</x:v>
      </x:c>
      <x:c r="O255" s="190" t="n">
        <x:f>K255*M255</x:f>
        <x:v>5578.323767064308</x:v>
      </x:c>
      <x:c r="P255" s="190" t="n">
        <x:f>L255*N255</x:f>
        <x:v>5737.704446123287</x:v>
      </x:c>
      <x:c r="Q255" s="190" t="n">
        <x:f>O255+P255</x:f>
        <x:v>11316.028213187596</x:v>
      </x:c>
      <x:c r="R255" s="196" t="n">
        <x:f>J255-K255-L255</x:f>
        <x:v>0</x:v>
      </x:c>
    </x:row>
    <x:row r="256">
      <x:c r="A256" s="20" t="str">
        <x:v>標準</x:v>
      </x:c>
      <x:c r="B256" s="20" t="n">
        <x:v>1</x:v>
      </x:c>
      <x:c r="C256" s="20" t="n">
        <x:v>12</x:v>
      </x:c>
      <x:c r="D256" s="189" t="n">
        <x:v>1</x:v>
      </x:c>
      <x:c r="E256" s="189" t="n">
        <x:v>1</x:v>
      </x:c>
      <x:c r="F256" s="189" t="n">
        <x:f>MAX(MIN('詳細設定'!$D$15+0,1),0)</x:f>
        <x:v>0.4</x:v>
      </x:c>
      <x:c r="G256" s="563" t="n">
        <x:f>'_計算月次'!$J$16</x:f>
        <x:v>443.97248688000184</x:v>
      </x:c>
      <x:c r="H256" s="563" t="n">
        <x:f>'_計算月次'!$K$16</x:f>
        <x:v>405</x:v>
      </x:c>
      <x:c r="I256" s="563" t="n">
        <x:f>(1-MAX(MIN('詳細設定'!$D$16,0.999999),0))^(B256-1)</x:f>
        <x:v>1</x:v>
      </x:c>
      <x:c r="J256" s="563" t="n">
        <x:f>MAX(G256*D256*I256,0)</x:f>
        <x:v>443.97248688000184</x:v>
      </x:c>
      <x:c r="K256" s="563" t="n">
        <x:f>MAX(MIN(J256*F256,H256),0)</x:f>
        <x:v>177.58899475200076</x:v>
      </x:c>
      <x:c r="L256" s="563" t="n">
        <x:f>MAX(J256-K256,0)</x:f>
        <x:v>266.3834921280011</x:v>
      </x:c>
      <x:c r="M256" s="185" t="n">
        <x:f>MAX('詳細設定'!$D$6,0)*(1+'詳細設定'!$D$21)^(B256-1)</x:f>
        <x:v>35</x:v>
      </x:c>
      <x:c r="N256" s="185" t="n">
        <x:f>IF(B256&lt;=MAX(MIN('詳細設定'!$D$8,20),0),MAX('詳細設定'!$D$7,0),IF(B256&lt;=MAX(MIN('詳細設定'!$D$10,20),0),MAX('詳細設定'!$D$9,0),MAX('詳細設定'!$D$11,0)))</x:f>
        <x:v>24</x:v>
      </x:c>
      <x:c r="O256" s="190" t="n">
        <x:f>K256*M256</x:f>
        <x:v>6215.614816320027</x:v>
      </x:c>
      <x:c r="P256" s="190" t="n">
        <x:f>L256*N256</x:f>
        <x:v>6393.203811072026</x:v>
      </x:c>
      <x:c r="Q256" s="190" t="n">
        <x:f>O256+P256</x:f>
        <x:v>12608.818627392053</x:v>
      </x:c>
      <x:c r="R256" s="196" t="n">
        <x:f>J256-K256-L256</x:f>
        <x:v>0</x:v>
      </x:c>
    </x:row>
    <x:row r="257">
      <x:c r="A257" s="20" t="str">
        <x:v>標準</x:v>
      </x:c>
      <x:c r="B257" s="20" t="n">
        <x:v>2</x:v>
      </x:c>
      <x:c r="C257" s="20" t="n">
        <x:v>1</x:v>
      </x:c>
      <x:c r="D257" s="189" t="n">
        <x:v>1</x:v>
      </x:c>
      <x:c r="E257" s="189" t="n">
        <x:v>1</x:v>
      </x:c>
      <x:c r="F257" s="189" t="n">
        <x:f>MAX(MIN('詳細設定'!$D$15+0,1),0)</x:f>
        <x:v>0.4</x:v>
      </x:c>
      <x:c r="G257" s="563" t="n">
        <x:f>'_計算月次'!$J$5</x:f>
        <x:v>502.4147595742038</x:v>
      </x:c>
      <x:c r="H257" s="563" t="n">
        <x:f>'_計算月次'!$K$5</x:f>
        <x:v>450</x:v>
      </x:c>
      <x:c r="I257" s="563" t="n">
        <x:f>(1-MAX(MIN('詳細設定'!$D$16,0.999999),0))^(B257-1)</x:f>
        <x:v>1</x:v>
      </x:c>
      <x:c r="J257" s="563" t="n">
        <x:f>MAX(G257*D257*I257,0)</x:f>
        <x:v>502.4147595742038</x:v>
      </x:c>
      <x:c r="K257" s="563" t="n">
        <x:f>MAX(MIN(J257*F257,H257),0)</x:f>
        <x:v>200.96590382968154</x:v>
      </x:c>
      <x:c r="L257" s="563" t="n">
        <x:f>MAX(J257-K257,0)</x:f>
        <x:v>301.44885574452223</x:v>
      </x:c>
      <x:c r="M257" s="185" t="n">
        <x:f>MAX('詳細設定'!$D$6,0)*(1+'詳細設定'!$D$21)^(B257-1)</x:f>
        <x:v>35.35</x:v>
      </x:c>
      <x:c r="N257" s="185" t="n">
        <x:f>IF(B257&lt;=MAX(MIN('詳細設定'!$D$8,20),0),MAX('詳細設定'!$D$7,0),IF(B257&lt;=MAX(MIN('詳細設定'!$D$10,20),0),MAX('詳細設定'!$D$9,0),MAX('詳細設定'!$D$11,0)))</x:f>
        <x:v>24</x:v>
      </x:c>
      <x:c r="O257" s="190" t="n">
        <x:f>K257*M257</x:f>
        <x:v>7104.144700379243</x:v>
      </x:c>
      <x:c r="P257" s="190" t="n">
        <x:f>L257*N257</x:f>
        <x:v>7234.772537868534</x:v>
      </x:c>
      <x:c r="Q257" s="190" t="n">
        <x:f>O257+P257</x:f>
        <x:v>14338.917238247777</x:v>
      </x:c>
      <x:c r="R257" s="196" t="n">
        <x:f>J257-K257-L257</x:f>
        <x:v>0</x:v>
      </x:c>
    </x:row>
    <x:row r="258">
      <x:c r="A258" s="20" t="str">
        <x:v>標準</x:v>
      </x:c>
      <x:c r="B258" s="20" t="n">
        <x:v>2</x:v>
      </x:c>
      <x:c r="C258" s="20" t="n">
        <x:v>2</x:v>
      </x:c>
      <x:c r="D258" s="189" t="n">
        <x:v>1</x:v>
      </x:c>
      <x:c r="E258" s="189" t="n">
        <x:v>1</x:v>
      </x:c>
      <x:c r="F258" s="189" t="n">
        <x:f>MAX(MIN('詳細設定'!$D$15+0,1),0)</x:f>
        <x:v>0.4</x:v>
      </x:c>
      <x:c r="G258" s="563" t="n">
        <x:f>'_計算月次'!$J$6</x:f>
        <x:v>472.4508339500229</x:v>
      </x:c>
      <x:c r="H258" s="563" t="n">
        <x:f>'_計算月次'!$K$6</x:f>
        <x:v>405</x:v>
      </x:c>
      <x:c r="I258" s="563" t="n">
        <x:f>(1-MAX(MIN('詳細設定'!$D$16,0.999999),0))^(B258-1)</x:f>
        <x:v>1</x:v>
      </x:c>
      <x:c r="J258" s="563" t="n">
        <x:f>MAX(G258*D258*I258,0)</x:f>
        <x:v>472.4508339500229</x:v>
      </x:c>
      <x:c r="K258" s="563" t="n">
        <x:f>MAX(MIN(J258*F258,H258),0)</x:f>
        <x:v>188.9803335800092</x:v>
      </x:c>
      <x:c r="L258" s="563" t="n">
        <x:f>MAX(J258-K258,0)</x:f>
        <x:v>283.4705003700137</x:v>
      </x:c>
      <x:c r="M258" s="185" t="n">
        <x:f>MAX('詳細設定'!$D$6,0)*(1+'詳細設定'!$D$21)^(B258-1)</x:f>
        <x:v>35.35</x:v>
      </x:c>
      <x:c r="N258" s="185" t="n">
        <x:f>IF(B258&lt;=MAX(MIN('詳細設定'!$D$8,20),0),MAX('詳細設定'!$D$7,0),IF(B258&lt;=MAX(MIN('詳細設定'!$D$10,20),0),MAX('詳細設定'!$D$9,0),MAX('詳細設定'!$D$11,0)))</x:f>
        <x:v>24</x:v>
      </x:c>
      <x:c r="O258" s="190" t="n">
        <x:f>K258*M258</x:f>
        <x:v>6680.454792053325</x:v>
      </x:c>
      <x:c r="P258" s="190" t="n">
        <x:f>L258*N258</x:f>
        <x:v>6803.292008880329</x:v>
      </x:c>
      <x:c r="Q258" s="190" t="n">
        <x:f>O258+P258</x:f>
        <x:v>13483.746800933655</x:v>
      </x:c>
      <x:c r="R258" s="196" t="n">
        <x:f>J258-K258-L258</x:f>
        <x:v>0</x:v>
      </x:c>
    </x:row>
    <x:row r="259">
      <x:c r="A259" s="20" t="str">
        <x:v>標準</x:v>
      </x:c>
      <x:c r="B259" s="20" t="n">
        <x:v>2</x:v>
      </x:c>
      <x:c r="C259" s="20" t="n">
        <x:v>3</x:v>
      </x:c>
      <x:c r="D259" s="189" t="n">
        <x:v>1</x:v>
      </x:c>
      <x:c r="E259" s="189" t="n">
        <x:v>1</x:v>
      </x:c>
      <x:c r="F259" s="189" t="n">
        <x:f>MAX(MIN('詳細設定'!$D$15+0,1),0)</x:f>
        <x:v>0.4</x:v>
      </x:c>
      <x:c r="G259" s="563" t="n">
        <x:f>'_計算月次'!$J$7</x:f>
        <x:v>548.3418864753118</x:v>
      </x:c>
      <x:c r="H259" s="563" t="n">
        <x:f>'_計算月次'!$K$7</x:f>
        <x:v>360</x:v>
      </x:c>
      <x:c r="I259" s="563" t="n">
        <x:f>(1-MAX(MIN('詳細設定'!$D$16,0.999999),0))^(B259-1)</x:f>
        <x:v>1</x:v>
      </x:c>
      <x:c r="J259" s="563" t="n">
        <x:f>MAX(G259*D259*I259,0)</x:f>
        <x:v>548.3418864753118</x:v>
      </x:c>
      <x:c r="K259" s="563" t="n">
        <x:f>MAX(MIN(J259*F259,H259),0)</x:f>
        <x:v>219.3367545901247</x:v>
      </x:c>
      <x:c r="L259" s="563" t="n">
        <x:f>MAX(J259-K259,0)</x:f>
        <x:v>329.00513188518704</x:v>
      </x:c>
      <x:c r="M259" s="185" t="n">
        <x:f>MAX('詳細設定'!$D$6,0)*(1+'詳細設定'!$D$21)^(B259-1)</x:f>
        <x:v>35.35</x:v>
      </x:c>
      <x:c r="N259" s="185" t="n">
        <x:f>IF(B259&lt;=MAX(MIN('詳細設定'!$D$8,20),0),MAX('詳細設定'!$D$7,0),IF(B259&lt;=MAX(MIN('詳細設定'!$D$10,20),0),MAX('詳細設定'!$D$9,0),MAX('詳細設定'!$D$11,0)))</x:f>
        <x:v>24</x:v>
      </x:c>
      <x:c r="O259" s="190" t="n">
        <x:f>K259*M259</x:f>
        <x:v>7753.554274760909</x:v>
      </x:c>
      <x:c r="P259" s="190" t="n">
        <x:f>L259*N259</x:f>
        <x:v>7896.123165244489</x:v>
      </x:c>
      <x:c r="Q259" s="190" t="n">
        <x:f>O259+P259</x:f>
        <x:v>15649.677440005398</x:v>
      </x:c>
      <x:c r="R259" s="196" t="n">
        <x:f>J259-K259-L259</x:f>
        <x:v>0</x:v>
      </x:c>
    </x:row>
    <x:row r="260">
      <x:c r="A260" s="20" t="str">
        <x:v>標準</x:v>
      </x:c>
      <x:c r="B260" s="20" t="n">
        <x:v>2</x:v>
      </x:c>
      <x:c r="C260" s="20" t="n">
        <x:v>4</x:v>
      </x:c>
      <x:c r="D260" s="189" t="n">
        <x:v>1</x:v>
      </x:c>
      <x:c r="E260" s="189" t="n">
        <x:v>1</x:v>
      </x:c>
      <x:c r="F260" s="189" t="n">
        <x:f>MAX(MIN('詳細設定'!$D$15+0,1),0)</x:f>
        <x:v>0.4</x:v>
      </x:c>
      <x:c r="G260" s="563" t="n">
        <x:f>'_計算月次'!$J$8</x:f>
        <x:v>548.3944393749554</x:v>
      </x:c>
      <x:c r="H260" s="563" t="n">
        <x:f>'_計算月次'!$K$8</x:f>
        <x:v>315.00000000000006</x:v>
      </x:c>
      <x:c r="I260" s="563" t="n">
        <x:f>(1-MAX(MIN('詳細設定'!$D$16,0.999999),0))^(B260-1)</x:f>
        <x:v>1</x:v>
      </x:c>
      <x:c r="J260" s="563" t="n">
        <x:f>MAX(G260*D260*I260,0)</x:f>
        <x:v>548.3944393749554</x:v>
      </x:c>
      <x:c r="K260" s="563" t="n">
        <x:f>MAX(MIN(J260*F260,H260),0)</x:f>
        <x:v>219.35777574998215</x:v>
      </x:c>
      <x:c r="L260" s="563" t="n">
        <x:f>MAX(J260-K260,0)</x:f>
        <x:v>329.03666362497324</x:v>
      </x:c>
      <x:c r="M260" s="185" t="n">
        <x:f>MAX('詳細設定'!$D$6,0)*(1+'詳細設定'!$D$21)^(B260-1)</x:f>
        <x:v>35.35</x:v>
      </x:c>
      <x:c r="N260" s="185" t="n">
        <x:f>IF(B260&lt;=MAX(MIN('詳細設定'!$D$8,20),0),MAX('詳細設定'!$D$7,0),IF(B260&lt;=MAX(MIN('詳細設定'!$D$10,20),0),MAX('詳細設定'!$D$9,0),MAX('詳細設定'!$D$11,0)))</x:f>
        <x:v>24</x:v>
      </x:c>
      <x:c r="O260" s="190" t="n">
        <x:f>K260*M260</x:f>
        <x:v>7754.297372761869</x:v>
      </x:c>
      <x:c r="P260" s="190" t="n">
        <x:f>L260*N260</x:f>
        <x:v>7896.879926999358</x:v>
      </x:c>
      <x:c r="Q260" s="190" t="n">
        <x:f>O260+P260</x:f>
        <x:v>15651.177299761228</x:v>
      </x:c>
      <x:c r="R260" s="196" t="n">
        <x:f>J260-K260-L260</x:f>
        <x:v>0</x:v>
      </x:c>
    </x:row>
    <x:row r="261">
      <x:c r="A261" s="20" t="str">
        <x:v>標準</x:v>
      </x:c>
      <x:c r="B261" s="20" t="n">
        <x:v>2</x:v>
      </x:c>
      <x:c r="C261" s="20" t="n">
        <x:v>5</x:v>
      </x:c>
      <x:c r="D261" s="189" t="n">
        <x:v>1</x:v>
      </x:c>
      <x:c r="E261" s="189" t="n">
        <x:v>1</x:v>
      </x:c>
      <x:c r="F261" s="189" t="n">
        <x:f>MAX(MIN('詳細設定'!$D$15+0,1),0)</x:f>
        <x:v>0.4</x:v>
      </x:c>
      <x:c r="G261" s="563" t="n">
        <x:f>'_計算月次'!$J$9</x:f>
        <x:v>552.2367574934775</x:v>
      </x:c>
      <x:c r="H261" s="563" t="n">
        <x:f>'_計算月次'!$K$9</x:f>
        <x:v>315.00000000000006</x:v>
      </x:c>
      <x:c r="I261" s="563" t="n">
        <x:f>(1-MAX(MIN('詳細設定'!$D$16,0.999999),0))^(B261-1)</x:f>
        <x:v>1</x:v>
      </x:c>
      <x:c r="J261" s="563" t="n">
        <x:f>MAX(G261*D261*I261,0)</x:f>
        <x:v>552.2367574934775</x:v>
      </x:c>
      <x:c r="K261" s="563" t="n">
        <x:f>MAX(MIN(J261*F261,H261),0)</x:f>
        <x:v>220.89470299739102</x:v>
      </x:c>
      <x:c r="L261" s="563" t="n">
        <x:f>MAX(J261-K261,0)</x:f>
        <x:v>331.34205449608646</x:v>
      </x:c>
      <x:c r="M261" s="185" t="n">
        <x:f>MAX('詳細設定'!$D$6,0)*(1+'詳細設定'!$D$21)^(B261-1)</x:f>
        <x:v>35.35</x:v>
      </x:c>
      <x:c r="N261" s="185" t="n">
        <x:f>IF(B261&lt;=MAX(MIN('詳細設定'!$D$8,20),0),MAX('詳細設定'!$D$7,0),IF(B261&lt;=MAX(MIN('詳細設定'!$D$10,20),0),MAX('詳細設定'!$D$9,0),MAX('詳細設定'!$D$11,0)))</x:f>
        <x:v>24</x:v>
      </x:c>
      <x:c r="O261" s="190" t="n">
        <x:f>K261*M261</x:f>
        <x:v>7808.627750957773</x:v>
      </x:c>
      <x:c r="P261" s="190" t="n">
        <x:f>L261*N261</x:f>
        <x:v>7952.209307906075</x:v>
      </x:c>
      <x:c r="Q261" s="190" t="n">
        <x:f>O261+P261</x:f>
        <x:v>15760.837058863848</x:v>
      </x:c>
      <x:c r="R261" s="196" t="n">
        <x:f>J261-K261-L261</x:f>
        <x:v>0</x:v>
      </x:c>
    </x:row>
    <x:row r="262">
      <x:c r="A262" s="20" t="str">
        <x:v>標準</x:v>
      </x:c>
      <x:c r="B262" s="20" t="n">
        <x:v>2</x:v>
      </x:c>
      <x:c r="C262" s="20" t="n">
        <x:v>6</x:v>
      </x:c>
      <x:c r="D262" s="189" t="n">
        <x:v>1</x:v>
      </x:c>
      <x:c r="E262" s="189" t="n">
        <x:v>1</x:v>
      </x:c>
      <x:c r="F262" s="189" t="n">
        <x:f>MAX(MIN('詳細設定'!$D$15+0,1),0)</x:f>
        <x:v>0.4</x:v>
      </x:c>
      <x:c r="G262" s="563" t="n">
        <x:f>'_計算月次'!$J$10</x:f>
        <x:v>448.7994857612148</x:v>
      </x:c>
      <x:c r="H262" s="563" t="n">
        <x:f>'_計算月次'!$K$10</x:f>
        <x:v>360</x:v>
      </x:c>
      <x:c r="I262" s="563" t="n">
        <x:f>(1-MAX(MIN('詳細設定'!$D$16,0.999999),0))^(B262-1)</x:f>
        <x:v>1</x:v>
      </x:c>
      <x:c r="J262" s="563" t="n">
        <x:f>MAX(G262*D262*I262,0)</x:f>
        <x:v>448.7994857612148</x:v>
      </x:c>
      <x:c r="K262" s="563" t="n">
        <x:f>MAX(MIN(J262*F262,H262),0)</x:f>
        <x:v>179.5197943044859</x:v>
      </x:c>
      <x:c r="L262" s="563" t="n">
        <x:f>MAX(J262-K262,0)</x:f>
        <x:v>269.27969145672887</x:v>
      </x:c>
      <x:c r="M262" s="185" t="n">
        <x:f>MAX('詳細設定'!$D$6,0)*(1+'詳細設定'!$D$21)^(B262-1)</x:f>
        <x:v>35.35</x:v>
      </x:c>
      <x:c r="N262" s="185" t="n">
        <x:f>IF(B262&lt;=MAX(MIN('詳細設定'!$D$8,20),0),MAX('詳細設定'!$D$7,0),IF(B262&lt;=MAX(MIN('詳細設定'!$D$10,20),0),MAX('詳細設定'!$D$9,0),MAX('詳細設定'!$D$11,0)))</x:f>
        <x:v>24</x:v>
      </x:c>
      <x:c r="O262" s="190" t="n">
        <x:f>K262*M262</x:f>
        <x:v>6346.024728663578</x:v>
      </x:c>
      <x:c r="P262" s="190" t="n">
        <x:f>L262*N262</x:f>
        <x:v>6462.712594961493</x:v>
      </x:c>
      <x:c r="Q262" s="190" t="n">
        <x:f>O262+P262</x:f>
        <x:v>12808.737323625071</x:v>
      </x:c>
      <x:c r="R262" s="196" t="n">
        <x:f>J262-K262-L262</x:f>
        <x:v>0</x:v>
      </x:c>
    </x:row>
    <x:row r="263">
      <x:c r="A263" s="20" t="str">
        <x:v>標準</x:v>
      </x:c>
      <x:c r="B263" s="20" t="n">
        <x:v>2</x:v>
      </x:c>
      <x:c r="C263" s="20" t="n">
        <x:v>7</x:v>
      </x:c>
      <x:c r="D263" s="189" t="n">
        <x:v>1</x:v>
      </x:c>
      <x:c r="E263" s="189" t="n">
        <x:v>1</x:v>
      </x:c>
      <x:c r="F263" s="189" t="n">
        <x:f>MAX(MIN('詳細設定'!$D$15+0,1),0)</x:f>
        <x:v>0.4</x:v>
      </x:c>
      <x:c r="G263" s="563" t="n">
        <x:f>'_計算月次'!$J$11</x:f>
        <x:v>476.0181638067866</x:v>
      </x:c>
      <x:c r="H263" s="563" t="n">
        <x:f>'_計算月次'!$K$11</x:f>
        <x:v>405</x:v>
      </x:c>
      <x:c r="I263" s="563" t="n">
        <x:f>(1-MAX(MIN('詳細設定'!$D$16,0.999999),0))^(B263-1)</x:f>
        <x:v>1</x:v>
      </x:c>
      <x:c r="J263" s="563" t="n">
        <x:f>MAX(G263*D263*I263,0)</x:f>
        <x:v>476.0181638067866</x:v>
      </x:c>
      <x:c r="K263" s="563" t="n">
        <x:f>MAX(MIN(J263*F263,H263),0)</x:f>
        <x:v>190.40726552271465</x:v>
      </x:c>
      <x:c r="L263" s="563" t="n">
        <x:f>MAX(J263-K263,0)</x:f>
        <x:v>285.61089828407194</x:v>
      </x:c>
      <x:c r="M263" s="185" t="n">
        <x:f>MAX('詳細設定'!$D$6,0)*(1+'詳細設定'!$D$21)^(B263-1)</x:f>
        <x:v>35.35</x:v>
      </x:c>
      <x:c r="N263" s="185" t="n">
        <x:f>IF(B263&lt;=MAX(MIN('詳細設定'!$D$8,20),0),MAX('詳細設定'!$D$7,0),IF(B263&lt;=MAX(MIN('詳細設定'!$D$10,20),0),MAX('詳細設定'!$D$9,0),MAX('詳細設定'!$D$11,0)))</x:f>
        <x:v>24</x:v>
      </x:c>
      <x:c r="O263" s="190" t="n">
        <x:f>K263*M263</x:f>
        <x:v>6730.896836227963</x:v>
      </x:c>
      <x:c r="P263" s="190" t="n">
        <x:f>L263*N263</x:f>
        <x:v>6854.6615588177265</x:v>
      </x:c>
      <x:c r="Q263" s="190" t="n">
        <x:f>O263+P263</x:f>
        <x:v>13585.55839504569</x:v>
      </x:c>
      <x:c r="R263" s="196" t="n">
        <x:f>J263-K263-L263</x:f>
        <x:v>0</x:v>
      </x:c>
    </x:row>
    <x:row r="264">
      <x:c r="A264" s="20" t="str">
        <x:v>標準</x:v>
      </x:c>
      <x:c r="B264" s="20" t="n">
        <x:v>2</x:v>
      </x:c>
      <x:c r="C264" s="20" t="n">
        <x:v>8</x:v>
      </x:c>
      <x:c r="D264" s="189" t="n">
        <x:v>1</x:v>
      </x:c>
      <x:c r="E264" s="189" t="n">
        <x:v>1</x:v>
      </x:c>
      <x:c r="F264" s="189" t="n">
        <x:f>MAX(MIN('詳細設定'!$D$15+0,1),0)</x:f>
        <x:v>0.4</x:v>
      </x:c>
      <x:c r="G264" s="563" t="n">
        <x:f>'_計算月次'!$J$12</x:f>
        <x:v>528.6548067323699</x:v>
      </x:c>
      <x:c r="H264" s="563" t="n">
        <x:f>'_計算月次'!$K$12</x:f>
        <x:v>450</x:v>
      </x:c>
      <x:c r="I264" s="563" t="n">
        <x:f>(1-MAX(MIN('詳細設定'!$D$16,0.999999),0))^(B264-1)</x:f>
        <x:v>1</x:v>
      </x:c>
      <x:c r="J264" s="563" t="n">
        <x:f>MAX(G264*D264*I264,0)</x:f>
        <x:v>528.6548067323699</x:v>
      </x:c>
      <x:c r="K264" s="563" t="n">
        <x:f>MAX(MIN(J264*F264,H264),0)</x:f>
        <x:v>211.46192269294798</x:v>
      </x:c>
      <x:c r="L264" s="563" t="n">
        <x:f>MAX(J264-K264,0)</x:f>
        <x:v>317.192884039422</x:v>
      </x:c>
      <x:c r="M264" s="185" t="n">
        <x:f>MAX('詳細設定'!$D$6,0)*(1+'詳細設定'!$D$21)^(B264-1)</x:f>
        <x:v>35.35</x:v>
      </x:c>
      <x:c r="N264" s="185" t="n">
        <x:f>IF(B264&lt;=MAX(MIN('詳細設定'!$D$8,20),0),MAX('詳細設定'!$D$7,0),IF(B264&lt;=MAX(MIN('詳細設定'!$D$10,20),0),MAX('詳細設定'!$D$9,0),MAX('詳細設定'!$D$11,0)))</x:f>
        <x:v>24</x:v>
      </x:c>
      <x:c r="O264" s="190" t="n">
        <x:f>K264*M264</x:f>
        <x:v>7475.178967195711</x:v>
      </x:c>
      <x:c r="P264" s="190" t="n">
        <x:f>L264*N264</x:f>
        <x:v>7612.629216946128</x:v>
      </x:c>
      <x:c r="Q264" s="190" t="n">
        <x:f>O264+P264</x:f>
        <x:v>15087.808184141839</x:v>
      </x:c>
      <x:c r="R264" s="196" t="n">
        <x:f>J264-K264-L264</x:f>
        <x:v>0</x:v>
      </x:c>
    </x:row>
    <x:row r="265">
      <x:c r="A265" s="20" t="str">
        <x:v>標準</x:v>
      </x:c>
      <x:c r="B265" s="20" t="n">
        <x:v>2</x:v>
      </x:c>
      <x:c r="C265" s="20" t="n">
        <x:v>9</x:v>
      </x:c>
      <x:c r="D265" s="189" t="n">
        <x:v>1</x:v>
      </x:c>
      <x:c r="E265" s="189" t="n">
        <x:v>1</x:v>
      </x:c>
      <x:c r="F265" s="189" t="n">
        <x:f>MAX(MIN('詳細設定'!$D$15+0,1),0)</x:f>
        <x:v>0.4</x:v>
      </x:c>
      <x:c r="G265" s="563" t="n">
        <x:f>'_計算月次'!$J$13</x:f>
        <x:v>436.37734765103465</x:v>
      </x:c>
      <x:c r="H265" s="563" t="n">
        <x:f>'_計算月次'!$K$13</x:f>
        <x:v>360</x:v>
      </x:c>
      <x:c r="I265" s="563" t="n">
        <x:f>(1-MAX(MIN('詳細設定'!$D$16,0.999999),0))^(B265-1)</x:f>
        <x:v>1</x:v>
      </x:c>
      <x:c r="J265" s="563" t="n">
        <x:f>MAX(G265*D265*I265,0)</x:f>
        <x:v>436.37734765103465</x:v>
      </x:c>
      <x:c r="K265" s="563" t="n">
        <x:f>MAX(MIN(J265*F265,H265),0)</x:f>
        <x:v>174.55093906041387</x:v>
      </x:c>
      <x:c r="L265" s="563" t="n">
        <x:f>MAX(J265-K265,0)</x:f>
        <x:v>261.82640859062076</x:v>
      </x:c>
      <x:c r="M265" s="185" t="n">
        <x:f>MAX('詳細設定'!$D$6,0)*(1+'詳細設定'!$D$21)^(B265-1)</x:f>
        <x:v>35.35</x:v>
      </x:c>
      <x:c r="N265" s="185" t="n">
        <x:f>IF(B265&lt;=MAX(MIN('詳細設定'!$D$8,20),0),MAX('詳細設定'!$D$7,0),IF(B265&lt;=MAX(MIN('詳細設定'!$D$10,20),0),MAX('詳細設定'!$D$9,0),MAX('詳細設定'!$D$11,0)))</x:f>
        <x:v>24</x:v>
      </x:c>
      <x:c r="O265" s="190" t="n">
        <x:f>K265*M265</x:f>
        <x:v>6170.37569578563</x:v>
      </x:c>
      <x:c r="P265" s="190" t="n">
        <x:f>L265*N265</x:f>
        <x:v>6283.833806174898</x:v>
      </x:c>
      <x:c r="Q265" s="190" t="n">
        <x:f>O265+P265</x:f>
        <x:v>12454.20950196053</x:v>
      </x:c>
      <x:c r="R265" s="196" t="n">
        <x:f>J265-K265-L265</x:f>
        <x:v>0</x:v>
      </x:c>
    </x:row>
    <x:row r="266">
      <x:c r="A266" s="20" t="str">
        <x:v>標準</x:v>
      </x:c>
      <x:c r="B266" s="20" t="n">
        <x:v>2</x:v>
      </x:c>
      <x:c r="C266" s="20" t="n">
        <x:v>10</x:v>
      </x:c>
      <x:c r="D266" s="189" t="n">
        <x:v>1</x:v>
      </x:c>
      <x:c r="E266" s="189" t="n">
        <x:v>1</x:v>
      </x:c>
      <x:c r="F266" s="189" t="n">
        <x:f>MAX(MIN('詳細設定'!$D$15+0,1),0)</x:f>
        <x:v>0.4</x:v>
      </x:c>
      <x:c r="G266" s="563" t="n">
        <x:f>'_計算月次'!$J$14</x:f>
        <x:v>408.8269849869007</x:v>
      </x:c>
      <x:c r="H266" s="563" t="n">
        <x:f>'_計算月次'!$K$14</x:f>
        <x:v>315.00000000000006</x:v>
      </x:c>
      <x:c r="I266" s="563" t="n">
        <x:f>(1-MAX(MIN('詳細設定'!$D$16,0.999999),0))^(B266-1)</x:f>
        <x:v>1</x:v>
      </x:c>
      <x:c r="J266" s="563" t="n">
        <x:f>MAX(G266*D266*I266,0)</x:f>
        <x:v>408.8269849869007</x:v>
      </x:c>
      <x:c r="K266" s="563" t="n">
        <x:f>MAX(MIN(J266*F266,H266),0)</x:f>
        <x:v>163.5307939947603</x:v>
      </x:c>
      <x:c r="L266" s="563" t="n">
        <x:f>MAX(J266-K266,0)</x:f>
        <x:v>245.2961909921404</x:v>
      </x:c>
      <x:c r="M266" s="185" t="n">
        <x:f>MAX('詳細設定'!$D$6,0)*(1+'詳細設定'!$D$21)^(B266-1)</x:f>
        <x:v>35.35</x:v>
      </x:c>
      <x:c r="N266" s="185" t="n">
        <x:f>IF(B266&lt;=MAX(MIN('詳細設定'!$D$8,20),0),MAX('詳細設定'!$D$7,0),IF(B266&lt;=MAX(MIN('詳細設定'!$D$10,20),0),MAX('詳細設定'!$D$9,0),MAX('詳細設定'!$D$11,0)))</x:f>
        <x:v>24</x:v>
      </x:c>
      <x:c r="O266" s="190" t="n">
        <x:f>K266*M266</x:f>
        <x:v>5780.813567714777</x:v>
      </x:c>
      <x:c r="P266" s="190" t="n">
        <x:f>L266*N266</x:f>
        <x:v>5887.1085838113695</x:v>
      </x:c>
      <x:c r="Q266" s="190" t="n">
        <x:f>O266+P266</x:f>
        <x:v>11667.922151526145</x:v>
      </x:c>
      <x:c r="R266" s="196" t="n">
        <x:f>J266-K266-L266</x:f>
        <x:v>0</x:v>
      </x:c>
    </x:row>
    <x:row r="267">
      <x:c r="A267" s="20" t="str">
        <x:v>標準</x:v>
      </x:c>
      <x:c r="B267" s="20" t="n">
        <x:v>2</x:v>
      </x:c>
      <x:c r="C267" s="20" t="n">
        <x:v>11</x:v>
      </x:c>
      <x:c r="D267" s="189" t="n">
        <x:v>1</x:v>
      </x:c>
      <x:c r="E267" s="189" t="n">
        <x:v>1</x:v>
      </x:c>
      <x:c r="F267" s="189" t="n">
        <x:f>MAX(MIN('詳細設定'!$D$15+0,1),0)</x:f>
        <x:v>0.4</x:v>
      </x:c>
      <x:c r="G267" s="563" t="n">
        <x:f>'_計算月次'!$J$15</x:f>
        <x:v>398.45169764745054</x:v>
      </x:c>
      <x:c r="H267" s="563" t="n">
        <x:f>'_計算月次'!$K$15</x:f>
        <x:v>360</x:v>
      </x:c>
      <x:c r="I267" s="563" t="n">
        <x:f>(1-MAX(MIN('詳細設定'!$D$16,0.999999),0))^(B267-1)</x:f>
        <x:v>1</x:v>
      </x:c>
      <x:c r="J267" s="563" t="n">
        <x:f>MAX(G267*D267*I267,0)</x:f>
        <x:v>398.45169764745054</x:v>
      </x:c>
      <x:c r="K267" s="563" t="n">
        <x:f>MAX(MIN(J267*F267,H267),0)</x:f>
        <x:v>159.38067905898023</x:v>
      </x:c>
      <x:c r="L267" s="563" t="n">
        <x:f>MAX(J267-K267,0)</x:f>
        <x:v>239.0710185884703</x:v>
      </x:c>
      <x:c r="M267" s="185" t="n">
        <x:f>MAX('詳細設定'!$D$6,0)*(1+'詳細設定'!$D$21)^(B267-1)</x:f>
        <x:v>35.35</x:v>
      </x:c>
      <x:c r="N267" s="185" t="n">
        <x:f>IF(B267&lt;=MAX(MIN('詳細設定'!$D$8,20),0),MAX('詳細設定'!$D$7,0),IF(B267&lt;=MAX(MIN('詳細設定'!$D$10,20),0),MAX('詳細設定'!$D$9,0),MAX('詳細設定'!$D$11,0)))</x:f>
        <x:v>24</x:v>
      </x:c>
      <x:c r="O267" s="190" t="n">
        <x:f>K267*M267</x:f>
        <x:v>5634.107004734951</x:v>
      </x:c>
      <x:c r="P267" s="190" t="n">
        <x:f>L267*N267</x:f>
        <x:v>5737.704446123287</x:v>
      </x:c>
      <x:c r="Q267" s="190" t="n">
        <x:f>O267+P267</x:f>
        <x:v>11371.811450858238</x:v>
      </x:c>
      <x:c r="R267" s="196" t="n">
        <x:f>J267-K267-L267</x:f>
        <x:v>0</x:v>
      </x:c>
    </x:row>
    <x:row r="268">
      <x:c r="A268" s="20" t="str">
        <x:v>標準</x:v>
      </x:c>
      <x:c r="B268" s="20" t="n">
        <x:v>2</x:v>
      </x:c>
      <x:c r="C268" s="20" t="n">
        <x:v>12</x:v>
      </x:c>
      <x:c r="D268" s="189" t="n">
        <x:v>1</x:v>
      </x:c>
      <x:c r="E268" s="189" t="n">
        <x:v>1</x:v>
      </x:c>
      <x:c r="F268" s="189" t="n">
        <x:f>MAX(MIN('詳細設定'!$D$15+0,1),0)</x:f>
        <x:v>0.4</x:v>
      </x:c>
      <x:c r="G268" s="563" t="n">
        <x:f>'_計算月次'!$J$16</x:f>
        <x:v>443.97248688000184</x:v>
      </x:c>
      <x:c r="H268" s="563" t="n">
        <x:f>'_計算月次'!$K$16</x:f>
        <x:v>405</x:v>
      </x:c>
      <x:c r="I268" s="563" t="n">
        <x:f>(1-MAX(MIN('詳細設定'!$D$16,0.999999),0))^(B268-1)</x:f>
        <x:v>1</x:v>
      </x:c>
      <x:c r="J268" s="563" t="n">
        <x:f>MAX(G268*D268*I268,0)</x:f>
        <x:v>443.97248688000184</x:v>
      </x:c>
      <x:c r="K268" s="563" t="n">
        <x:f>MAX(MIN(J268*F268,H268),0)</x:f>
        <x:v>177.58899475200076</x:v>
      </x:c>
      <x:c r="L268" s="563" t="n">
        <x:f>MAX(J268-K268,0)</x:f>
        <x:v>266.3834921280011</x:v>
      </x:c>
      <x:c r="M268" s="185" t="n">
        <x:f>MAX('詳細設定'!$D$6,0)*(1+'詳細設定'!$D$21)^(B268-1)</x:f>
        <x:v>35.35</x:v>
      </x:c>
      <x:c r="N268" s="185" t="n">
        <x:f>IF(B268&lt;=MAX(MIN('詳細設定'!$D$8,20),0),MAX('詳細設定'!$D$7,0),IF(B268&lt;=MAX(MIN('詳細設定'!$D$10,20),0),MAX('詳細設定'!$D$9,0),MAX('詳細設定'!$D$11,0)))</x:f>
        <x:v>24</x:v>
      </x:c>
      <x:c r="O268" s="190" t="n">
        <x:f>K268*M268</x:f>
        <x:v>6277.770964483227</x:v>
      </x:c>
      <x:c r="P268" s="190" t="n">
        <x:f>L268*N268</x:f>
        <x:v>6393.203811072026</x:v>
      </x:c>
      <x:c r="Q268" s="190" t="n">
        <x:f>O268+P268</x:f>
        <x:v>12670.974775555253</x:v>
      </x:c>
      <x:c r="R268" s="196" t="n">
        <x:f>J268-K268-L268</x:f>
        <x:v>0</x:v>
      </x:c>
    </x:row>
    <x:row r="269">
      <x:c r="A269" s="20" t="str">
        <x:v>標準</x:v>
      </x:c>
      <x:c r="B269" s="20" t="n">
        <x:v>3</x:v>
      </x:c>
      <x:c r="C269" s="20" t="n">
        <x:v>1</x:v>
      </x:c>
      <x:c r="D269" s="189" t="n">
        <x:v>1</x:v>
      </x:c>
      <x:c r="E269" s="189" t="n">
        <x:v>1</x:v>
      </x:c>
      <x:c r="F269" s="189" t="n">
        <x:f>MAX(MIN('詳細設定'!$D$15+0,1),0)</x:f>
        <x:v>0.4</x:v>
      </x:c>
      <x:c r="G269" s="563" t="n">
        <x:f>'_計算月次'!$J$5</x:f>
        <x:v>502.4147595742038</x:v>
      </x:c>
      <x:c r="H269" s="563" t="n">
        <x:f>'_計算月次'!$K$5</x:f>
        <x:v>450</x:v>
      </x:c>
      <x:c r="I269" s="563" t="n">
        <x:f>(1-MAX(MIN('詳細設定'!$D$16,0.999999),0))^(B269-1)</x:f>
        <x:v>1</x:v>
      </x:c>
      <x:c r="J269" s="563" t="n">
        <x:f>MAX(G269*D269*I269,0)</x:f>
        <x:v>502.4147595742038</x:v>
      </x:c>
      <x:c r="K269" s="563" t="n">
        <x:f>MAX(MIN(J269*F269,H269),0)</x:f>
        <x:v>200.96590382968154</x:v>
      </x:c>
      <x:c r="L269" s="563" t="n">
        <x:f>MAX(J269-K269,0)</x:f>
        <x:v>301.44885574452223</x:v>
      </x:c>
      <x:c r="M269" s="185" t="n">
        <x:f>MAX('詳細設定'!$D$6,0)*(1+'詳細設定'!$D$21)^(B269-1)</x:f>
        <x:v>35.7035</x:v>
      </x:c>
      <x:c r="N269" s="185" t="n">
        <x:f>IF(B269&lt;=MAX(MIN('詳細設定'!$D$8,20),0),MAX('詳細設定'!$D$7,0),IF(B269&lt;=MAX(MIN('詳細設定'!$D$10,20),0),MAX('詳細設定'!$D$9,0),MAX('詳細設定'!$D$11,0)))</x:f>
        <x:v>24</x:v>
      </x:c>
      <x:c r="O269" s="190" t="n">
        <x:f>K269*M269</x:f>
        <x:v>7175.186147383034</x:v>
      </x:c>
      <x:c r="P269" s="190" t="n">
        <x:f>L269*N269</x:f>
        <x:v>7234.772537868534</x:v>
      </x:c>
      <x:c r="Q269" s="190" t="n">
        <x:f>O269+P269</x:f>
        <x:v>14409.958685251568</x:v>
      </x:c>
      <x:c r="R269" s="196" t="n">
        <x:f>J269-K269-L269</x:f>
        <x:v>0</x:v>
      </x:c>
    </x:row>
    <x:row r="270">
      <x:c r="A270" s="20" t="str">
        <x:v>標準</x:v>
      </x:c>
      <x:c r="B270" s="20" t="n">
        <x:v>3</x:v>
      </x:c>
      <x:c r="C270" s="20" t="n">
        <x:v>2</x:v>
      </x:c>
      <x:c r="D270" s="189" t="n">
        <x:v>1</x:v>
      </x:c>
      <x:c r="E270" s="189" t="n">
        <x:v>1</x:v>
      </x:c>
      <x:c r="F270" s="189" t="n">
        <x:f>MAX(MIN('詳細設定'!$D$15+0,1),0)</x:f>
        <x:v>0.4</x:v>
      </x:c>
      <x:c r="G270" s="563" t="n">
        <x:f>'_計算月次'!$J$6</x:f>
        <x:v>472.4508339500229</x:v>
      </x:c>
      <x:c r="H270" s="563" t="n">
        <x:f>'_計算月次'!$K$6</x:f>
        <x:v>405</x:v>
      </x:c>
      <x:c r="I270" s="563" t="n">
        <x:f>(1-MAX(MIN('詳細設定'!$D$16,0.999999),0))^(B270-1)</x:f>
        <x:v>1</x:v>
      </x:c>
      <x:c r="J270" s="563" t="n">
        <x:f>MAX(G270*D270*I270,0)</x:f>
        <x:v>472.4508339500229</x:v>
      </x:c>
      <x:c r="K270" s="563" t="n">
        <x:f>MAX(MIN(J270*F270,H270),0)</x:f>
        <x:v>188.9803335800092</x:v>
      </x:c>
      <x:c r="L270" s="563" t="n">
        <x:f>MAX(J270-K270,0)</x:f>
        <x:v>283.4705003700137</x:v>
      </x:c>
      <x:c r="M270" s="185" t="n">
        <x:f>MAX('詳細設定'!$D$6,0)*(1+'詳細設定'!$D$21)^(B270-1)</x:f>
        <x:v>35.7035</x:v>
      </x:c>
      <x:c r="N270" s="185" t="n">
        <x:f>IF(B270&lt;=MAX(MIN('詳細設定'!$D$8,20),0),MAX('詳細設定'!$D$7,0),IF(B270&lt;=MAX(MIN('詳細設定'!$D$10,20),0),MAX('詳細設定'!$D$9,0),MAX('詳細設定'!$D$11,0)))</x:f>
        <x:v>24</x:v>
      </x:c>
      <x:c r="O270" s="190" t="n">
        <x:f>K270*M270</x:f>
        <x:v>6747.259339973858</x:v>
      </x:c>
      <x:c r="P270" s="190" t="n">
        <x:f>L270*N270</x:f>
        <x:v>6803.292008880329</x:v>
      </x:c>
      <x:c r="Q270" s="190" t="n">
        <x:f>O270+P270</x:f>
        <x:v>13550.551348854187</x:v>
      </x:c>
      <x:c r="R270" s="196" t="n">
        <x:f>J270-K270-L270</x:f>
        <x:v>0</x:v>
      </x:c>
    </x:row>
    <x:row r="271">
      <x:c r="A271" s="20" t="str">
        <x:v>標準</x:v>
      </x:c>
      <x:c r="B271" s="20" t="n">
        <x:v>3</x:v>
      </x:c>
      <x:c r="C271" s="20" t="n">
        <x:v>3</x:v>
      </x:c>
      <x:c r="D271" s="189" t="n">
        <x:v>1</x:v>
      </x:c>
      <x:c r="E271" s="189" t="n">
        <x:v>1</x:v>
      </x:c>
      <x:c r="F271" s="189" t="n">
        <x:f>MAX(MIN('詳細設定'!$D$15+0,1),0)</x:f>
        <x:v>0.4</x:v>
      </x:c>
      <x:c r="G271" s="563" t="n">
        <x:f>'_計算月次'!$J$7</x:f>
        <x:v>548.3418864753118</x:v>
      </x:c>
      <x:c r="H271" s="563" t="n">
        <x:f>'_計算月次'!$K$7</x:f>
        <x:v>360</x:v>
      </x:c>
      <x:c r="I271" s="563" t="n">
        <x:f>(1-MAX(MIN('詳細設定'!$D$16,0.999999),0))^(B271-1)</x:f>
        <x:v>1</x:v>
      </x:c>
      <x:c r="J271" s="563" t="n">
        <x:f>MAX(G271*D271*I271,0)</x:f>
        <x:v>548.3418864753118</x:v>
      </x:c>
      <x:c r="K271" s="563" t="n">
        <x:f>MAX(MIN(J271*F271,H271),0)</x:f>
        <x:v>219.3367545901247</x:v>
      </x:c>
      <x:c r="L271" s="563" t="n">
        <x:f>MAX(J271-K271,0)</x:f>
        <x:v>329.00513188518704</x:v>
      </x:c>
      <x:c r="M271" s="185" t="n">
        <x:f>MAX('詳細設定'!$D$6,0)*(1+'詳細設定'!$D$21)^(B271-1)</x:f>
        <x:v>35.7035</x:v>
      </x:c>
      <x:c r="N271" s="185" t="n">
        <x:f>IF(B271&lt;=MAX(MIN('詳細設定'!$D$8,20),0),MAX('詳細設定'!$D$7,0),IF(B271&lt;=MAX(MIN('詳細設定'!$D$10,20),0),MAX('詳細設定'!$D$9,0),MAX('詳細設定'!$D$11,0)))</x:f>
        <x:v>24</x:v>
      </x:c>
      <x:c r="O271" s="190" t="n">
        <x:f>K271*M271</x:f>
        <x:v>7831.089817508518</x:v>
      </x:c>
      <x:c r="P271" s="190" t="n">
        <x:f>L271*N271</x:f>
        <x:v>7896.123165244489</x:v>
      </x:c>
      <x:c r="Q271" s="190" t="n">
        <x:f>O271+P271</x:f>
        <x:v>15727.212982753008</x:v>
      </x:c>
      <x:c r="R271" s="196" t="n">
        <x:f>J271-K271-L271</x:f>
        <x:v>0</x:v>
      </x:c>
    </x:row>
    <x:row r="272">
      <x:c r="A272" s="20" t="str">
        <x:v>標準</x:v>
      </x:c>
      <x:c r="B272" s="20" t="n">
        <x:v>3</x:v>
      </x:c>
      <x:c r="C272" s="20" t="n">
        <x:v>4</x:v>
      </x:c>
      <x:c r="D272" s="189" t="n">
        <x:v>1</x:v>
      </x:c>
      <x:c r="E272" s="189" t="n">
        <x:v>1</x:v>
      </x:c>
      <x:c r="F272" s="189" t="n">
        <x:f>MAX(MIN('詳細設定'!$D$15+0,1),0)</x:f>
        <x:v>0.4</x:v>
      </x:c>
      <x:c r="G272" s="563" t="n">
        <x:f>'_計算月次'!$J$8</x:f>
        <x:v>548.3944393749554</x:v>
      </x:c>
      <x:c r="H272" s="563" t="n">
        <x:f>'_計算月次'!$K$8</x:f>
        <x:v>315.00000000000006</x:v>
      </x:c>
      <x:c r="I272" s="563" t="n">
        <x:f>(1-MAX(MIN('詳細設定'!$D$16,0.999999),0))^(B272-1)</x:f>
        <x:v>1</x:v>
      </x:c>
      <x:c r="J272" s="563" t="n">
        <x:f>MAX(G272*D272*I272,0)</x:f>
        <x:v>548.3944393749554</x:v>
      </x:c>
      <x:c r="K272" s="563" t="n">
        <x:f>MAX(MIN(J272*F272,H272),0)</x:f>
        <x:v>219.35777574998215</x:v>
      </x:c>
      <x:c r="L272" s="563" t="n">
        <x:f>MAX(J272-K272,0)</x:f>
        <x:v>329.03666362497324</x:v>
      </x:c>
      <x:c r="M272" s="185" t="n">
        <x:f>MAX('詳細設定'!$D$6,0)*(1+'詳細設定'!$D$21)^(B272-1)</x:f>
        <x:v>35.7035</x:v>
      </x:c>
      <x:c r="N272" s="185" t="n">
        <x:f>IF(B272&lt;=MAX(MIN('詳細設定'!$D$8,20),0),MAX('詳細設定'!$D$7,0),IF(B272&lt;=MAX(MIN('詳細設定'!$D$10,20),0),MAX('詳細設定'!$D$9,0),MAX('詳細設定'!$D$11,0)))</x:f>
        <x:v>24</x:v>
      </x:c>
      <x:c r="O272" s="190" t="n">
        <x:f>K272*M272</x:f>
        <x:v>7831.840346489487</x:v>
      </x:c>
      <x:c r="P272" s="190" t="n">
        <x:f>L272*N272</x:f>
        <x:v>7896.879926999358</x:v>
      </x:c>
      <x:c r="Q272" s="190" t="n">
        <x:f>O272+P272</x:f>
        <x:v>15728.720273488845</x:v>
      </x:c>
      <x:c r="R272" s="196" t="n">
        <x:f>J272-K272-L272</x:f>
        <x:v>0</x:v>
      </x:c>
    </x:row>
    <x:row r="273">
      <x:c r="A273" s="20" t="str">
        <x:v>標準</x:v>
      </x:c>
      <x:c r="B273" s="20" t="n">
        <x:v>3</x:v>
      </x:c>
      <x:c r="C273" s="20" t="n">
        <x:v>5</x:v>
      </x:c>
      <x:c r="D273" s="189" t="n">
        <x:v>1</x:v>
      </x:c>
      <x:c r="E273" s="189" t="n">
        <x:v>1</x:v>
      </x:c>
      <x:c r="F273" s="189" t="n">
        <x:f>MAX(MIN('詳細設定'!$D$15+0,1),0)</x:f>
        <x:v>0.4</x:v>
      </x:c>
      <x:c r="G273" s="563" t="n">
        <x:f>'_計算月次'!$J$9</x:f>
        <x:v>552.2367574934775</x:v>
      </x:c>
      <x:c r="H273" s="563" t="n">
        <x:f>'_計算月次'!$K$9</x:f>
        <x:v>315.00000000000006</x:v>
      </x:c>
      <x:c r="I273" s="563" t="n">
        <x:f>(1-MAX(MIN('詳細設定'!$D$16,0.999999),0))^(B273-1)</x:f>
        <x:v>1</x:v>
      </x:c>
      <x:c r="J273" s="563" t="n">
        <x:f>MAX(G273*D273*I273,0)</x:f>
        <x:v>552.2367574934775</x:v>
      </x:c>
      <x:c r="K273" s="563" t="n">
        <x:f>MAX(MIN(J273*F273,H273),0)</x:f>
        <x:v>220.89470299739102</x:v>
      </x:c>
      <x:c r="L273" s="563" t="n">
        <x:f>MAX(J273-K273,0)</x:f>
        <x:v>331.34205449608646</x:v>
      </x:c>
      <x:c r="M273" s="185" t="n">
        <x:f>MAX('詳細設定'!$D$6,0)*(1+'詳細設定'!$D$21)^(B273-1)</x:f>
        <x:v>35.7035</x:v>
      </x:c>
      <x:c r="N273" s="185" t="n">
        <x:f>IF(B273&lt;=MAX(MIN('詳細設定'!$D$8,20),0),MAX('詳細設定'!$D$7,0),IF(B273&lt;=MAX(MIN('詳細設定'!$D$10,20),0),MAX('詳細設定'!$D$9,0),MAX('詳細設定'!$D$11,0)))</x:f>
        <x:v>24</x:v>
      </x:c>
      <x:c r="O273" s="190" t="n">
        <x:f>K273*M273</x:f>
        <x:v>7886.71402846735</x:v>
      </x:c>
      <x:c r="P273" s="190" t="n">
        <x:f>L273*N273</x:f>
        <x:v>7952.209307906075</x:v>
      </x:c>
      <x:c r="Q273" s="190" t="n">
        <x:f>O273+P273</x:f>
        <x:v>15838.923336373424</x:v>
      </x:c>
      <x:c r="R273" s="196" t="n">
        <x:f>J273-K273-L273</x:f>
        <x:v>0</x:v>
      </x:c>
    </x:row>
    <x:row r="274">
      <x:c r="A274" s="20" t="str">
        <x:v>標準</x:v>
      </x:c>
      <x:c r="B274" s="20" t="n">
        <x:v>3</x:v>
      </x:c>
      <x:c r="C274" s="20" t="n">
        <x:v>6</x:v>
      </x:c>
      <x:c r="D274" s="189" t="n">
        <x:v>1</x:v>
      </x:c>
      <x:c r="E274" s="189" t="n">
        <x:v>1</x:v>
      </x:c>
      <x:c r="F274" s="189" t="n">
        <x:f>MAX(MIN('詳細設定'!$D$15+0,1),0)</x:f>
        <x:v>0.4</x:v>
      </x:c>
      <x:c r="G274" s="563" t="n">
        <x:f>'_計算月次'!$J$10</x:f>
        <x:v>448.7994857612148</x:v>
      </x:c>
      <x:c r="H274" s="563" t="n">
        <x:f>'_計算月次'!$K$10</x:f>
        <x:v>360</x:v>
      </x:c>
      <x:c r="I274" s="563" t="n">
        <x:f>(1-MAX(MIN('詳細設定'!$D$16,0.999999),0))^(B274-1)</x:f>
        <x:v>1</x:v>
      </x:c>
      <x:c r="J274" s="563" t="n">
        <x:f>MAX(G274*D274*I274,0)</x:f>
        <x:v>448.7994857612148</x:v>
      </x:c>
      <x:c r="K274" s="563" t="n">
        <x:f>MAX(MIN(J274*F274,H274),0)</x:f>
        <x:v>179.5197943044859</x:v>
      </x:c>
      <x:c r="L274" s="563" t="n">
        <x:f>MAX(J274-K274,0)</x:f>
        <x:v>269.27969145672887</x:v>
      </x:c>
      <x:c r="M274" s="185" t="n">
        <x:f>MAX('詳細設定'!$D$6,0)*(1+'詳細設定'!$D$21)^(B274-1)</x:f>
        <x:v>35.7035</x:v>
      </x:c>
      <x:c r="N274" s="185" t="n">
        <x:f>IF(B274&lt;=MAX(MIN('詳細設定'!$D$8,20),0),MAX('詳細設定'!$D$7,0),IF(B274&lt;=MAX(MIN('詳細設定'!$D$10,20),0),MAX('詳細設定'!$D$9,0),MAX('詳細設定'!$D$11,0)))</x:f>
        <x:v>24</x:v>
      </x:c>
      <x:c r="O274" s="190" t="n">
        <x:f>K274*M274</x:f>
        <x:v>6409.484975950212</x:v>
      </x:c>
      <x:c r="P274" s="190" t="n">
        <x:f>L274*N274</x:f>
        <x:v>6462.712594961493</x:v>
      </x:c>
      <x:c r="Q274" s="190" t="n">
        <x:f>O274+P274</x:f>
        <x:v>12872.197570911705</x:v>
      </x:c>
      <x:c r="R274" s="196" t="n">
        <x:f>J274-K274-L274</x:f>
        <x:v>0</x:v>
      </x:c>
    </x:row>
    <x:row r="275">
      <x:c r="A275" s="20" t="str">
        <x:v>標準</x:v>
      </x:c>
      <x:c r="B275" s="20" t="n">
        <x:v>3</x:v>
      </x:c>
      <x:c r="C275" s="20" t="n">
        <x:v>7</x:v>
      </x:c>
      <x:c r="D275" s="189" t="n">
        <x:v>1</x:v>
      </x:c>
      <x:c r="E275" s="189" t="n">
        <x:v>1</x:v>
      </x:c>
      <x:c r="F275" s="189" t="n">
        <x:f>MAX(MIN('詳細設定'!$D$15+0,1),0)</x:f>
        <x:v>0.4</x:v>
      </x:c>
      <x:c r="G275" s="563" t="n">
        <x:f>'_計算月次'!$J$11</x:f>
        <x:v>476.0181638067866</x:v>
      </x:c>
      <x:c r="H275" s="563" t="n">
        <x:f>'_計算月次'!$K$11</x:f>
        <x:v>405</x:v>
      </x:c>
      <x:c r="I275" s="563" t="n">
        <x:f>(1-MAX(MIN('詳細設定'!$D$16,0.999999),0))^(B275-1)</x:f>
        <x:v>1</x:v>
      </x:c>
      <x:c r="J275" s="563" t="n">
        <x:f>MAX(G275*D275*I275,0)</x:f>
        <x:v>476.0181638067866</x:v>
      </x:c>
      <x:c r="K275" s="563" t="n">
        <x:f>MAX(MIN(J275*F275,H275),0)</x:f>
        <x:v>190.40726552271465</x:v>
      </x:c>
      <x:c r="L275" s="563" t="n">
        <x:f>MAX(J275-K275,0)</x:f>
        <x:v>285.61089828407194</x:v>
      </x:c>
      <x:c r="M275" s="185" t="n">
        <x:f>MAX('詳細設定'!$D$6,0)*(1+'詳細設定'!$D$21)^(B275-1)</x:f>
        <x:v>35.7035</x:v>
      </x:c>
      <x:c r="N275" s="185" t="n">
        <x:f>IF(B275&lt;=MAX(MIN('詳細設定'!$D$8,20),0),MAX('詳細設定'!$D$7,0),IF(B275&lt;=MAX(MIN('詳細設定'!$D$10,20),0),MAX('詳細設定'!$D$9,0),MAX('詳細設定'!$D$11,0)))</x:f>
        <x:v>24</x:v>
      </x:c>
      <x:c r="O275" s="190" t="n">
        <x:f>K275*M275</x:f>
        <x:v>6798.205804590242</x:v>
      </x:c>
      <x:c r="P275" s="190" t="n">
        <x:f>L275*N275</x:f>
        <x:v>6854.6615588177265</x:v>
      </x:c>
      <x:c r="Q275" s="190" t="n">
        <x:f>O275+P275</x:f>
        <x:v>13652.867363407968</x:v>
      </x:c>
      <x:c r="R275" s="196" t="n">
        <x:f>J275-K275-L275</x:f>
        <x:v>0</x:v>
      </x:c>
    </x:row>
    <x:row r="276">
      <x:c r="A276" s="20" t="str">
        <x:v>標準</x:v>
      </x:c>
      <x:c r="B276" s="20" t="n">
        <x:v>3</x:v>
      </x:c>
      <x:c r="C276" s="20" t="n">
        <x:v>8</x:v>
      </x:c>
      <x:c r="D276" s="189" t="n">
        <x:v>1</x:v>
      </x:c>
      <x:c r="E276" s="189" t="n">
        <x:v>1</x:v>
      </x:c>
      <x:c r="F276" s="189" t="n">
        <x:f>MAX(MIN('詳細設定'!$D$15+0,1),0)</x:f>
        <x:v>0.4</x:v>
      </x:c>
      <x:c r="G276" s="563" t="n">
        <x:f>'_計算月次'!$J$12</x:f>
        <x:v>528.6548067323699</x:v>
      </x:c>
      <x:c r="H276" s="563" t="n">
        <x:f>'_計算月次'!$K$12</x:f>
        <x:v>450</x:v>
      </x:c>
      <x:c r="I276" s="563" t="n">
        <x:f>(1-MAX(MIN('詳細設定'!$D$16,0.999999),0))^(B276-1)</x:f>
        <x:v>1</x:v>
      </x:c>
      <x:c r="J276" s="563" t="n">
        <x:f>MAX(G276*D276*I276,0)</x:f>
        <x:v>528.6548067323699</x:v>
      </x:c>
      <x:c r="K276" s="563" t="n">
        <x:f>MAX(MIN(J276*F276,H276),0)</x:f>
        <x:v>211.46192269294798</x:v>
      </x:c>
      <x:c r="L276" s="563" t="n">
        <x:f>MAX(J276-K276,0)</x:f>
        <x:v>317.192884039422</x:v>
      </x:c>
      <x:c r="M276" s="185" t="n">
        <x:f>MAX('詳細設定'!$D$6,0)*(1+'詳細設定'!$D$21)^(B276-1)</x:f>
        <x:v>35.7035</x:v>
      </x:c>
      <x:c r="N276" s="185" t="n">
        <x:f>IF(B276&lt;=MAX(MIN('詳細設定'!$D$8,20),0),MAX('詳細設定'!$D$7,0),IF(B276&lt;=MAX(MIN('詳細設定'!$D$10,20),0),MAX('詳細設定'!$D$9,0),MAX('詳細設定'!$D$11,0)))</x:f>
        <x:v>24</x:v>
      </x:c>
      <x:c r="O276" s="190" t="n">
        <x:f>K276*M276</x:f>
        <x:v>7549.930756867668</x:v>
      </x:c>
      <x:c r="P276" s="190" t="n">
        <x:f>L276*N276</x:f>
        <x:v>7612.629216946128</x:v>
      </x:c>
      <x:c r="Q276" s="190" t="n">
        <x:f>O276+P276</x:f>
        <x:v>15162.559973813795</x:v>
      </x:c>
      <x:c r="R276" s="196" t="n">
        <x:f>J276-K276-L276</x:f>
        <x:v>0</x:v>
      </x:c>
    </x:row>
    <x:row r="277">
      <x:c r="A277" s="20" t="str">
        <x:v>標準</x:v>
      </x:c>
      <x:c r="B277" s="20" t="n">
        <x:v>3</x:v>
      </x:c>
      <x:c r="C277" s="20" t="n">
        <x:v>9</x:v>
      </x:c>
      <x:c r="D277" s="189" t="n">
        <x:v>1</x:v>
      </x:c>
      <x:c r="E277" s="189" t="n">
        <x:v>1</x:v>
      </x:c>
      <x:c r="F277" s="189" t="n">
        <x:f>MAX(MIN('詳細設定'!$D$15+0,1),0)</x:f>
        <x:v>0.4</x:v>
      </x:c>
      <x:c r="G277" s="563" t="n">
        <x:f>'_計算月次'!$J$13</x:f>
        <x:v>436.37734765103465</x:v>
      </x:c>
      <x:c r="H277" s="563" t="n">
        <x:f>'_計算月次'!$K$13</x:f>
        <x:v>360</x:v>
      </x:c>
      <x:c r="I277" s="563" t="n">
        <x:f>(1-MAX(MIN('詳細設定'!$D$16,0.999999),0))^(B277-1)</x:f>
        <x:v>1</x:v>
      </x:c>
      <x:c r="J277" s="563" t="n">
        <x:f>MAX(G277*D277*I277,0)</x:f>
        <x:v>436.37734765103465</x:v>
      </x:c>
      <x:c r="K277" s="563" t="n">
        <x:f>MAX(MIN(J277*F277,H277),0)</x:f>
        <x:v>174.55093906041387</x:v>
      </x:c>
      <x:c r="L277" s="563" t="n">
        <x:f>MAX(J277-K277,0)</x:f>
        <x:v>261.82640859062076</x:v>
      </x:c>
      <x:c r="M277" s="185" t="n">
        <x:f>MAX('詳細設定'!$D$6,0)*(1+'詳細設定'!$D$21)^(B277-1)</x:f>
        <x:v>35.7035</x:v>
      </x:c>
      <x:c r="N277" s="185" t="n">
        <x:f>IF(B277&lt;=MAX(MIN('詳細設定'!$D$8,20),0),MAX('詳細設定'!$D$7,0),IF(B277&lt;=MAX(MIN('詳細設定'!$D$10,20),0),MAX('詳細設定'!$D$9,0),MAX('詳細設定'!$D$11,0)))</x:f>
        <x:v>24</x:v>
      </x:c>
      <x:c r="O277" s="190" t="n">
        <x:f>K277*M277</x:f>
        <x:v>6232.079452743486</x:v>
      </x:c>
      <x:c r="P277" s="190" t="n">
        <x:f>L277*N277</x:f>
        <x:v>6283.833806174898</x:v>
      </x:c>
      <x:c r="Q277" s="190" t="n">
        <x:f>O277+P277</x:f>
        <x:v>12515.913258918385</x:v>
      </x:c>
      <x:c r="R277" s="196" t="n">
        <x:f>J277-K277-L277</x:f>
        <x:v>0</x:v>
      </x:c>
    </x:row>
    <x:row r="278">
      <x:c r="A278" s="20" t="str">
        <x:v>標準</x:v>
      </x:c>
      <x:c r="B278" s="20" t="n">
        <x:v>3</x:v>
      </x:c>
      <x:c r="C278" s="20" t="n">
        <x:v>10</x:v>
      </x:c>
      <x:c r="D278" s="189" t="n">
        <x:v>1</x:v>
      </x:c>
      <x:c r="E278" s="189" t="n">
        <x:v>1</x:v>
      </x:c>
      <x:c r="F278" s="189" t="n">
        <x:f>MAX(MIN('詳細設定'!$D$15+0,1),0)</x:f>
        <x:v>0.4</x:v>
      </x:c>
      <x:c r="G278" s="563" t="n">
        <x:f>'_計算月次'!$J$14</x:f>
        <x:v>408.8269849869007</x:v>
      </x:c>
      <x:c r="H278" s="563" t="n">
        <x:f>'_計算月次'!$K$14</x:f>
        <x:v>315.00000000000006</x:v>
      </x:c>
      <x:c r="I278" s="563" t="n">
        <x:f>(1-MAX(MIN('詳細設定'!$D$16,0.999999),0))^(B278-1)</x:f>
        <x:v>1</x:v>
      </x:c>
      <x:c r="J278" s="563" t="n">
        <x:f>MAX(G278*D278*I278,0)</x:f>
        <x:v>408.8269849869007</x:v>
      </x:c>
      <x:c r="K278" s="563" t="n">
        <x:f>MAX(MIN(J278*F278,H278),0)</x:f>
        <x:v>163.5307939947603</x:v>
      </x:c>
      <x:c r="L278" s="563" t="n">
        <x:f>MAX(J278-K278,0)</x:f>
        <x:v>245.2961909921404</x:v>
      </x:c>
      <x:c r="M278" s="185" t="n">
        <x:f>MAX('詳細設定'!$D$6,0)*(1+'詳細設定'!$D$21)^(B278-1)</x:f>
        <x:v>35.7035</x:v>
      </x:c>
      <x:c r="N278" s="185" t="n">
        <x:f>IF(B278&lt;=MAX(MIN('詳細設定'!$D$8,20),0),MAX('詳細設定'!$D$7,0),IF(B278&lt;=MAX(MIN('詳細設定'!$D$10,20),0),MAX('詳細設定'!$D$9,0),MAX('詳細設定'!$D$11,0)))</x:f>
        <x:v>24</x:v>
      </x:c>
      <x:c r="O278" s="190" t="n">
        <x:f>K278*M278</x:f>
        <x:v>5838.621703391924</x:v>
      </x:c>
      <x:c r="P278" s="190" t="n">
        <x:f>L278*N278</x:f>
        <x:v>5887.1085838113695</x:v>
      </x:c>
      <x:c r="Q278" s="190" t="n">
        <x:f>O278+P278</x:f>
        <x:v>11725.730287203292</x:v>
      </x:c>
      <x:c r="R278" s="196" t="n">
        <x:f>J278-K278-L278</x:f>
        <x:v>0</x:v>
      </x:c>
    </x:row>
    <x:row r="279">
      <x:c r="A279" s="20" t="str">
        <x:v>標準</x:v>
      </x:c>
      <x:c r="B279" s="20" t="n">
        <x:v>3</x:v>
      </x:c>
      <x:c r="C279" s="20" t="n">
        <x:v>11</x:v>
      </x:c>
      <x:c r="D279" s="189" t="n">
        <x:v>1</x:v>
      </x:c>
      <x:c r="E279" s="189" t="n">
        <x:v>1</x:v>
      </x:c>
      <x:c r="F279" s="189" t="n">
        <x:f>MAX(MIN('詳細設定'!$D$15+0,1),0)</x:f>
        <x:v>0.4</x:v>
      </x:c>
      <x:c r="G279" s="563" t="n">
        <x:f>'_計算月次'!$J$15</x:f>
        <x:v>398.45169764745054</x:v>
      </x:c>
      <x:c r="H279" s="563" t="n">
        <x:f>'_計算月次'!$K$15</x:f>
        <x:v>360</x:v>
      </x:c>
      <x:c r="I279" s="563" t="n">
        <x:f>(1-MAX(MIN('詳細設定'!$D$16,0.999999),0))^(B279-1)</x:f>
        <x:v>1</x:v>
      </x:c>
      <x:c r="J279" s="563" t="n">
        <x:f>MAX(G279*D279*I279,0)</x:f>
        <x:v>398.45169764745054</x:v>
      </x:c>
      <x:c r="K279" s="563" t="n">
        <x:f>MAX(MIN(J279*F279,H279),0)</x:f>
        <x:v>159.38067905898023</x:v>
      </x:c>
      <x:c r="L279" s="563" t="n">
        <x:f>MAX(J279-K279,0)</x:f>
        <x:v>239.0710185884703</x:v>
      </x:c>
      <x:c r="M279" s="185" t="n">
        <x:f>MAX('詳細設定'!$D$6,0)*(1+'詳細設定'!$D$21)^(B279-1)</x:f>
        <x:v>35.7035</x:v>
      </x:c>
      <x:c r="N279" s="185" t="n">
        <x:f>IF(B279&lt;=MAX(MIN('詳細設定'!$D$8,20),0),MAX('詳細設定'!$D$7,0),IF(B279&lt;=MAX(MIN('詳細設定'!$D$10,20),0),MAX('詳細設定'!$D$9,0),MAX('詳細設定'!$D$11,0)))</x:f>
        <x:v>24</x:v>
      </x:c>
      <x:c r="O279" s="190" t="n">
        <x:f>K279*M279</x:f>
        <x:v>5690.448074782301</x:v>
      </x:c>
      <x:c r="P279" s="190" t="n">
        <x:f>L279*N279</x:f>
        <x:v>5737.704446123287</x:v>
      </x:c>
      <x:c r="Q279" s="190" t="n">
        <x:f>O279+P279</x:f>
        <x:v>11428.152520905587</x:v>
      </x:c>
      <x:c r="R279" s="196" t="n">
        <x:f>J279-K279-L279</x:f>
        <x:v>0</x:v>
      </x:c>
    </x:row>
    <x:row r="280">
      <x:c r="A280" s="20" t="str">
        <x:v>標準</x:v>
      </x:c>
      <x:c r="B280" s="20" t="n">
        <x:v>3</x:v>
      </x:c>
      <x:c r="C280" s="20" t="n">
        <x:v>12</x:v>
      </x:c>
      <x:c r="D280" s="189" t="n">
        <x:v>1</x:v>
      </x:c>
      <x:c r="E280" s="189" t="n">
        <x:v>1</x:v>
      </x:c>
      <x:c r="F280" s="189" t="n">
        <x:f>MAX(MIN('詳細設定'!$D$15+0,1),0)</x:f>
        <x:v>0.4</x:v>
      </x:c>
      <x:c r="G280" s="563" t="n">
        <x:f>'_計算月次'!$J$16</x:f>
        <x:v>443.97248688000184</x:v>
      </x:c>
      <x:c r="H280" s="563" t="n">
        <x:f>'_計算月次'!$K$16</x:f>
        <x:v>405</x:v>
      </x:c>
      <x:c r="I280" s="563" t="n">
        <x:f>(1-MAX(MIN('詳細設定'!$D$16,0.999999),0))^(B280-1)</x:f>
        <x:v>1</x:v>
      </x:c>
      <x:c r="J280" s="563" t="n">
        <x:f>MAX(G280*D280*I280,0)</x:f>
        <x:v>443.97248688000184</x:v>
      </x:c>
      <x:c r="K280" s="563" t="n">
        <x:f>MAX(MIN(J280*F280,H280),0)</x:f>
        <x:v>177.58899475200076</x:v>
      </x:c>
      <x:c r="L280" s="563" t="n">
        <x:f>MAX(J280-K280,0)</x:f>
        <x:v>266.3834921280011</x:v>
      </x:c>
      <x:c r="M280" s="185" t="n">
        <x:f>MAX('詳細設定'!$D$6,0)*(1+'詳細設定'!$D$21)^(B280-1)</x:f>
        <x:v>35.7035</x:v>
      </x:c>
      <x:c r="N280" s="185" t="n">
        <x:f>IF(B280&lt;=MAX(MIN('詳細設定'!$D$8,20),0),MAX('詳細設定'!$D$7,0),IF(B280&lt;=MAX(MIN('詳細設定'!$D$10,20),0),MAX('詳細設定'!$D$9,0),MAX('詳細設定'!$D$11,0)))</x:f>
        <x:v>24</x:v>
      </x:c>
      <x:c r="O280" s="190" t="n">
        <x:f>K280*M280</x:f>
        <x:v>6340.548674128058</x:v>
      </x:c>
      <x:c r="P280" s="190" t="n">
        <x:f>L280*N280</x:f>
        <x:v>6393.203811072026</x:v>
      </x:c>
      <x:c r="Q280" s="190" t="n">
        <x:f>O280+P280</x:f>
        <x:v>12733.752485200084</x:v>
      </x:c>
      <x:c r="R280" s="196" t="n">
        <x:f>J280-K280-L280</x:f>
        <x:v>0</x:v>
      </x:c>
    </x:row>
    <x:row r="281">
      <x:c r="A281" s="20" t="str">
        <x:v>標準</x:v>
      </x:c>
      <x:c r="B281" s="20" t="n">
        <x:v>4</x:v>
      </x:c>
      <x:c r="C281" s="20" t="n">
        <x:v>1</x:v>
      </x:c>
      <x:c r="D281" s="189" t="n">
        <x:v>1</x:v>
      </x:c>
      <x:c r="E281" s="189" t="n">
        <x:v>1</x:v>
      </x:c>
      <x:c r="F281" s="189" t="n">
        <x:f>MAX(MIN('詳細設定'!$D$15+0,1),0)</x:f>
        <x:v>0.4</x:v>
      </x:c>
      <x:c r="G281" s="563" t="n">
        <x:f>'_計算月次'!$J$5</x:f>
        <x:v>502.4147595742038</x:v>
      </x:c>
      <x:c r="H281" s="563" t="n">
        <x:f>'_計算月次'!$K$5</x:f>
        <x:v>450</x:v>
      </x:c>
      <x:c r="I281" s="563" t="n">
        <x:f>(1-MAX(MIN('詳細設定'!$D$16,0.999999),0))^(B281-1)</x:f>
        <x:v>1</x:v>
      </x:c>
      <x:c r="J281" s="563" t="n">
        <x:f>MAX(G281*D281*I281,0)</x:f>
        <x:v>502.4147595742038</x:v>
      </x:c>
      <x:c r="K281" s="563" t="n">
        <x:f>MAX(MIN(J281*F281,H281),0)</x:f>
        <x:v>200.96590382968154</x:v>
      </x:c>
      <x:c r="L281" s="563" t="n">
        <x:f>MAX(J281-K281,0)</x:f>
        <x:v>301.44885574452223</x:v>
      </x:c>
      <x:c r="M281" s="185" t="n">
        <x:f>MAX('詳細設定'!$D$6,0)*(1+'詳細設定'!$D$21)^(B281-1)</x:f>
        <x:v>36.060535</x:v>
      </x:c>
      <x:c r="N281" s="185" t="n">
        <x:f>IF(B281&lt;=MAX(MIN('詳細設定'!$D$8,20),0),MAX('詳細設定'!$D$7,0),IF(B281&lt;=MAX(MIN('詳細設定'!$D$10,20),0),MAX('詳細設定'!$D$9,0),MAX('詳細設定'!$D$11,0)))</x:f>
        <x:v>24</x:v>
      </x:c>
      <x:c r="O281" s="190" t="n">
        <x:f>K281*M281</x:f>
        <x:v>7246.938008856865</x:v>
      </x:c>
      <x:c r="P281" s="190" t="n">
        <x:f>L281*N281</x:f>
        <x:v>7234.772537868534</x:v>
      </x:c>
      <x:c r="Q281" s="190" t="n">
        <x:f>O281+P281</x:f>
        <x:v>14481.710546725399</x:v>
      </x:c>
      <x:c r="R281" s="196" t="n">
        <x:f>J281-K281-L281</x:f>
        <x:v>0</x:v>
      </x:c>
    </x:row>
    <x:row r="282">
      <x:c r="A282" s="20" t="str">
        <x:v>標準</x:v>
      </x:c>
      <x:c r="B282" s="20" t="n">
        <x:v>4</x:v>
      </x:c>
      <x:c r="C282" s="20" t="n">
        <x:v>2</x:v>
      </x:c>
      <x:c r="D282" s="189" t="n">
        <x:v>1</x:v>
      </x:c>
      <x:c r="E282" s="189" t="n">
        <x:v>1</x:v>
      </x:c>
      <x:c r="F282" s="189" t="n">
        <x:f>MAX(MIN('詳細設定'!$D$15+0,1),0)</x:f>
        <x:v>0.4</x:v>
      </x:c>
      <x:c r="G282" s="563" t="n">
        <x:f>'_計算月次'!$J$6</x:f>
        <x:v>472.4508339500229</x:v>
      </x:c>
      <x:c r="H282" s="563" t="n">
        <x:f>'_計算月次'!$K$6</x:f>
        <x:v>405</x:v>
      </x:c>
      <x:c r="I282" s="563" t="n">
        <x:f>(1-MAX(MIN('詳細設定'!$D$16,0.999999),0))^(B282-1)</x:f>
        <x:v>1</x:v>
      </x:c>
      <x:c r="J282" s="563" t="n">
        <x:f>MAX(G282*D282*I282,0)</x:f>
        <x:v>472.4508339500229</x:v>
      </x:c>
      <x:c r="K282" s="563" t="n">
        <x:f>MAX(MIN(J282*F282,H282),0)</x:f>
        <x:v>188.9803335800092</x:v>
      </x:c>
      <x:c r="L282" s="563" t="n">
        <x:f>MAX(J282-K282,0)</x:f>
        <x:v>283.4705003700137</x:v>
      </x:c>
      <x:c r="M282" s="185" t="n">
        <x:f>MAX('詳細設定'!$D$6,0)*(1+'詳細設定'!$D$21)^(B282-1)</x:f>
        <x:v>36.060535</x:v>
      </x:c>
      <x:c r="N282" s="185" t="n">
        <x:f>IF(B282&lt;=MAX(MIN('詳細設定'!$D$8,20),0),MAX('詳細設定'!$D$7,0),IF(B282&lt;=MAX(MIN('詳細設定'!$D$10,20),0),MAX('詳細設定'!$D$9,0),MAX('詳細設定'!$D$11,0)))</x:f>
        <x:v>24</x:v>
      </x:c>
      <x:c r="O282" s="190" t="n">
        <x:f>K282*M282</x:f>
        <x:v>6814.731933373597</x:v>
      </x:c>
      <x:c r="P282" s="190" t="n">
        <x:f>L282*N282</x:f>
        <x:v>6803.292008880329</x:v>
      </x:c>
      <x:c r="Q282" s="190" t="n">
        <x:f>O282+P282</x:f>
        <x:v>13618.023942253927</x:v>
      </x:c>
      <x:c r="R282" s="196" t="n">
        <x:f>J282-K282-L282</x:f>
        <x:v>0</x:v>
      </x:c>
    </x:row>
    <x:row r="283">
      <x:c r="A283" s="20" t="str">
        <x:v>標準</x:v>
      </x:c>
      <x:c r="B283" s="20" t="n">
        <x:v>4</x:v>
      </x:c>
      <x:c r="C283" s="20" t="n">
        <x:v>3</x:v>
      </x:c>
      <x:c r="D283" s="189" t="n">
        <x:v>1</x:v>
      </x:c>
      <x:c r="E283" s="189" t="n">
        <x:v>1</x:v>
      </x:c>
      <x:c r="F283" s="189" t="n">
        <x:f>MAX(MIN('詳細設定'!$D$15+0,1),0)</x:f>
        <x:v>0.4</x:v>
      </x:c>
      <x:c r="G283" s="563" t="n">
        <x:f>'_計算月次'!$J$7</x:f>
        <x:v>548.3418864753118</x:v>
      </x:c>
      <x:c r="H283" s="563" t="n">
        <x:f>'_計算月次'!$K$7</x:f>
        <x:v>360</x:v>
      </x:c>
      <x:c r="I283" s="563" t="n">
        <x:f>(1-MAX(MIN('詳細設定'!$D$16,0.999999),0))^(B283-1)</x:f>
        <x:v>1</x:v>
      </x:c>
      <x:c r="J283" s="563" t="n">
        <x:f>MAX(G283*D283*I283,0)</x:f>
        <x:v>548.3418864753118</x:v>
      </x:c>
      <x:c r="K283" s="563" t="n">
        <x:f>MAX(MIN(J283*F283,H283),0)</x:f>
        <x:v>219.3367545901247</x:v>
      </x:c>
      <x:c r="L283" s="563" t="n">
        <x:f>MAX(J283-K283,0)</x:f>
        <x:v>329.00513188518704</x:v>
      </x:c>
      <x:c r="M283" s="185" t="n">
        <x:f>MAX('詳細設定'!$D$6,0)*(1+'詳細設定'!$D$21)^(B283-1)</x:f>
        <x:v>36.060535</x:v>
      </x:c>
      <x:c r="N283" s="185" t="n">
        <x:f>IF(B283&lt;=MAX(MIN('詳細設定'!$D$8,20),0),MAX('詳細設定'!$D$7,0),IF(B283&lt;=MAX(MIN('詳細設定'!$D$10,20),0),MAX('詳細設定'!$D$9,0),MAX('詳細設定'!$D$11,0)))</x:f>
        <x:v>24</x:v>
      </x:c>
      <x:c r="O283" s="190" t="n">
        <x:f>K283*M283</x:f>
        <x:v>7909.400715683603</x:v>
      </x:c>
      <x:c r="P283" s="190" t="n">
        <x:f>L283*N283</x:f>
        <x:v>7896.123165244489</x:v>
      </x:c>
      <x:c r="Q283" s="190" t="n">
        <x:f>O283+P283</x:f>
        <x:v>15805.523880928093</x:v>
      </x:c>
      <x:c r="R283" s="196" t="n">
        <x:f>J283-K283-L283</x:f>
        <x:v>0</x:v>
      </x:c>
    </x:row>
    <x:row r="284">
      <x:c r="A284" s="20" t="str">
        <x:v>標準</x:v>
      </x:c>
      <x:c r="B284" s="20" t="n">
        <x:v>4</x:v>
      </x:c>
      <x:c r="C284" s="20" t="n">
        <x:v>4</x:v>
      </x:c>
      <x:c r="D284" s="189" t="n">
        <x:v>1</x:v>
      </x:c>
      <x:c r="E284" s="189" t="n">
        <x:v>1</x:v>
      </x:c>
      <x:c r="F284" s="189" t="n">
        <x:f>MAX(MIN('詳細設定'!$D$15+0,1),0)</x:f>
        <x:v>0.4</x:v>
      </x:c>
      <x:c r="G284" s="563" t="n">
        <x:f>'_計算月次'!$J$8</x:f>
        <x:v>548.3944393749554</x:v>
      </x:c>
      <x:c r="H284" s="563" t="n">
        <x:f>'_計算月次'!$K$8</x:f>
        <x:v>315.00000000000006</x:v>
      </x:c>
      <x:c r="I284" s="563" t="n">
        <x:f>(1-MAX(MIN('詳細設定'!$D$16,0.999999),0))^(B284-1)</x:f>
        <x:v>1</x:v>
      </x:c>
      <x:c r="J284" s="563" t="n">
        <x:f>MAX(G284*D284*I284,0)</x:f>
        <x:v>548.3944393749554</x:v>
      </x:c>
      <x:c r="K284" s="563" t="n">
        <x:f>MAX(MIN(J284*F284,H284),0)</x:f>
        <x:v>219.35777574998215</x:v>
      </x:c>
      <x:c r="L284" s="563" t="n">
        <x:f>MAX(J284-K284,0)</x:f>
        <x:v>329.03666362497324</x:v>
      </x:c>
      <x:c r="M284" s="185" t="n">
        <x:f>MAX('詳細設定'!$D$6,0)*(1+'詳細設定'!$D$21)^(B284-1)</x:f>
        <x:v>36.060535</x:v>
      </x:c>
      <x:c r="N284" s="185" t="n">
        <x:f>IF(B284&lt;=MAX(MIN('詳細設定'!$D$8,20),0),MAX('詳細設定'!$D$7,0),IF(B284&lt;=MAX(MIN('詳細設定'!$D$10,20),0),MAX('詳細設定'!$D$9,0),MAX('詳細設定'!$D$11,0)))</x:f>
        <x:v>24</x:v>
      </x:c>
      <x:c r="O284" s="190" t="n">
        <x:f>K284*M284</x:f>
        <x:v>7910.158749954383</x:v>
      </x:c>
      <x:c r="P284" s="190" t="n">
        <x:f>L284*N284</x:f>
        <x:v>7896.879926999358</x:v>
      </x:c>
      <x:c r="Q284" s="190" t="n">
        <x:f>O284+P284</x:f>
        <x:v>15807.03867695374</x:v>
      </x:c>
      <x:c r="R284" s="196" t="n">
        <x:f>J284-K284-L284</x:f>
        <x:v>0</x:v>
      </x:c>
    </x:row>
    <x:row r="285">
      <x:c r="A285" s="20" t="str">
        <x:v>標準</x:v>
      </x:c>
      <x:c r="B285" s="20" t="n">
        <x:v>4</x:v>
      </x:c>
      <x:c r="C285" s="20" t="n">
        <x:v>5</x:v>
      </x:c>
      <x:c r="D285" s="189" t="n">
        <x:v>1</x:v>
      </x:c>
      <x:c r="E285" s="189" t="n">
        <x:v>1</x:v>
      </x:c>
      <x:c r="F285" s="189" t="n">
        <x:f>MAX(MIN('詳細設定'!$D$15+0,1),0)</x:f>
        <x:v>0.4</x:v>
      </x:c>
      <x:c r="G285" s="563" t="n">
        <x:f>'_計算月次'!$J$9</x:f>
        <x:v>552.2367574934775</x:v>
      </x:c>
      <x:c r="H285" s="563" t="n">
        <x:f>'_計算月次'!$K$9</x:f>
        <x:v>315.00000000000006</x:v>
      </x:c>
      <x:c r="I285" s="563" t="n">
        <x:f>(1-MAX(MIN('詳細設定'!$D$16,0.999999),0))^(B285-1)</x:f>
        <x:v>1</x:v>
      </x:c>
      <x:c r="J285" s="563" t="n">
        <x:f>MAX(G285*D285*I285,0)</x:f>
        <x:v>552.2367574934775</x:v>
      </x:c>
      <x:c r="K285" s="563" t="n">
        <x:f>MAX(MIN(J285*F285,H285),0)</x:f>
        <x:v>220.89470299739102</x:v>
      </x:c>
      <x:c r="L285" s="563" t="n">
        <x:f>MAX(J285-K285,0)</x:f>
        <x:v>331.34205449608646</x:v>
      </x:c>
      <x:c r="M285" s="185" t="n">
        <x:f>MAX('詳細設定'!$D$6,0)*(1+'詳細設定'!$D$21)^(B285-1)</x:f>
        <x:v>36.060535</x:v>
      </x:c>
      <x:c r="N285" s="185" t="n">
        <x:f>IF(B285&lt;=MAX(MIN('詳細設定'!$D$8,20),0),MAX('詳細設定'!$D$7,0),IF(B285&lt;=MAX(MIN('詳細設定'!$D$10,20),0),MAX('詳細設定'!$D$9,0),MAX('詳細設定'!$D$11,0)))</x:f>
        <x:v>24</x:v>
      </x:c>
      <x:c r="O285" s="190" t="n">
        <x:f>K285*M285</x:f>
        <x:v>7965.5811687520245</x:v>
      </x:c>
      <x:c r="P285" s="190" t="n">
        <x:f>L285*N285</x:f>
        <x:v>7952.209307906075</x:v>
      </x:c>
      <x:c r="Q285" s="190" t="n">
        <x:f>O285+P285</x:f>
        <x:v>15917.7904766581</x:v>
      </x:c>
      <x:c r="R285" s="196" t="n">
        <x:f>J285-K285-L285</x:f>
        <x:v>0</x:v>
      </x:c>
    </x:row>
    <x:row r="286">
      <x:c r="A286" s="20" t="str">
        <x:v>標準</x:v>
      </x:c>
      <x:c r="B286" s="20" t="n">
        <x:v>4</x:v>
      </x:c>
      <x:c r="C286" s="20" t="n">
        <x:v>6</x:v>
      </x:c>
      <x:c r="D286" s="189" t="n">
        <x:v>1</x:v>
      </x:c>
      <x:c r="E286" s="189" t="n">
        <x:v>1</x:v>
      </x:c>
      <x:c r="F286" s="189" t="n">
        <x:f>MAX(MIN('詳細設定'!$D$15+0,1),0)</x:f>
        <x:v>0.4</x:v>
      </x:c>
      <x:c r="G286" s="563" t="n">
        <x:f>'_計算月次'!$J$10</x:f>
        <x:v>448.7994857612148</x:v>
      </x:c>
      <x:c r="H286" s="563" t="n">
        <x:f>'_計算月次'!$K$10</x:f>
        <x:v>360</x:v>
      </x:c>
      <x:c r="I286" s="563" t="n">
        <x:f>(1-MAX(MIN('詳細設定'!$D$16,0.999999),0))^(B286-1)</x:f>
        <x:v>1</x:v>
      </x:c>
      <x:c r="J286" s="563" t="n">
        <x:f>MAX(G286*D286*I286,0)</x:f>
        <x:v>448.7994857612148</x:v>
      </x:c>
      <x:c r="K286" s="563" t="n">
        <x:f>MAX(MIN(J286*F286,H286),0)</x:f>
        <x:v>179.5197943044859</x:v>
      </x:c>
      <x:c r="L286" s="563" t="n">
        <x:f>MAX(J286-K286,0)</x:f>
        <x:v>269.27969145672887</x:v>
      </x:c>
      <x:c r="M286" s="185" t="n">
        <x:f>MAX('詳細設定'!$D$6,0)*(1+'詳細設定'!$D$21)^(B286-1)</x:f>
        <x:v>36.060535</x:v>
      </x:c>
      <x:c r="N286" s="185" t="n">
        <x:f>IF(B286&lt;=MAX(MIN('詳細設定'!$D$8,20),0),MAX('詳細設定'!$D$7,0),IF(B286&lt;=MAX(MIN('詳細設定'!$D$10,20),0),MAX('詳細設定'!$D$9,0),MAX('詳細設定'!$D$11,0)))</x:f>
        <x:v>24</x:v>
      </x:c>
      <x:c r="O286" s="190" t="n">
        <x:f>K286*M286</x:f>
        <x:v>6473.579825709715</x:v>
      </x:c>
      <x:c r="P286" s="190" t="n">
        <x:f>L286*N286</x:f>
        <x:v>6462.712594961493</x:v>
      </x:c>
      <x:c r="Q286" s="190" t="n">
        <x:f>O286+P286</x:f>
        <x:v>12936.292420671209</x:v>
      </x:c>
      <x:c r="R286" s="196" t="n">
        <x:f>J286-K286-L286</x:f>
        <x:v>0</x:v>
      </x:c>
    </x:row>
    <x:row r="287">
      <x:c r="A287" s="20" t="str">
        <x:v>標準</x:v>
      </x:c>
      <x:c r="B287" s="20" t="n">
        <x:v>4</x:v>
      </x:c>
      <x:c r="C287" s="20" t="n">
        <x:v>7</x:v>
      </x:c>
      <x:c r="D287" s="189" t="n">
        <x:v>1</x:v>
      </x:c>
      <x:c r="E287" s="189" t="n">
        <x:v>1</x:v>
      </x:c>
      <x:c r="F287" s="189" t="n">
        <x:f>MAX(MIN('詳細設定'!$D$15+0,1),0)</x:f>
        <x:v>0.4</x:v>
      </x:c>
      <x:c r="G287" s="563" t="n">
        <x:f>'_計算月次'!$J$11</x:f>
        <x:v>476.0181638067866</x:v>
      </x:c>
      <x:c r="H287" s="563" t="n">
        <x:f>'_計算月次'!$K$11</x:f>
        <x:v>405</x:v>
      </x:c>
      <x:c r="I287" s="563" t="n">
        <x:f>(1-MAX(MIN('詳細設定'!$D$16,0.999999),0))^(B287-1)</x:f>
        <x:v>1</x:v>
      </x:c>
      <x:c r="J287" s="563" t="n">
        <x:f>MAX(G287*D287*I287,0)</x:f>
        <x:v>476.0181638067866</x:v>
      </x:c>
      <x:c r="K287" s="563" t="n">
        <x:f>MAX(MIN(J287*F287,H287),0)</x:f>
        <x:v>190.40726552271465</x:v>
      </x:c>
      <x:c r="L287" s="563" t="n">
        <x:f>MAX(J287-K287,0)</x:f>
        <x:v>285.61089828407194</x:v>
      </x:c>
      <x:c r="M287" s="185" t="n">
        <x:f>MAX('詳細設定'!$D$6,0)*(1+'詳細設定'!$D$21)^(B287-1)</x:f>
        <x:v>36.060535</x:v>
      </x:c>
      <x:c r="N287" s="185" t="n">
        <x:f>IF(B287&lt;=MAX(MIN('詳細設定'!$D$8,20),0),MAX('詳細設定'!$D$7,0),IF(B287&lt;=MAX(MIN('詳細設定'!$D$10,20),0),MAX('詳細設定'!$D$9,0),MAX('詳細設定'!$D$11,0)))</x:f>
        <x:v>24</x:v>
      </x:c>
      <x:c r="O287" s="190" t="n">
        <x:f>K287*M287</x:f>
        <x:v>6866.187862636145</x:v>
      </x:c>
      <x:c r="P287" s="190" t="n">
        <x:f>L287*N287</x:f>
        <x:v>6854.6615588177265</x:v>
      </x:c>
      <x:c r="Q287" s="190" t="n">
        <x:f>O287+P287</x:f>
        <x:v>13720.849421453871</x:v>
      </x:c>
      <x:c r="R287" s="196" t="n">
        <x:f>J287-K287-L287</x:f>
        <x:v>0</x:v>
      </x:c>
    </x:row>
    <x:row r="288">
      <x:c r="A288" s="20" t="str">
        <x:v>標準</x:v>
      </x:c>
      <x:c r="B288" s="20" t="n">
        <x:v>4</x:v>
      </x:c>
      <x:c r="C288" s="20" t="n">
        <x:v>8</x:v>
      </x:c>
      <x:c r="D288" s="189" t="n">
        <x:v>1</x:v>
      </x:c>
      <x:c r="E288" s="189" t="n">
        <x:v>1</x:v>
      </x:c>
      <x:c r="F288" s="189" t="n">
        <x:f>MAX(MIN('詳細設定'!$D$15+0,1),0)</x:f>
        <x:v>0.4</x:v>
      </x:c>
      <x:c r="G288" s="563" t="n">
        <x:f>'_計算月次'!$J$12</x:f>
        <x:v>528.6548067323699</x:v>
      </x:c>
      <x:c r="H288" s="563" t="n">
        <x:f>'_計算月次'!$K$12</x:f>
        <x:v>450</x:v>
      </x:c>
      <x:c r="I288" s="563" t="n">
        <x:f>(1-MAX(MIN('詳細設定'!$D$16,0.999999),0))^(B288-1)</x:f>
        <x:v>1</x:v>
      </x:c>
      <x:c r="J288" s="563" t="n">
        <x:f>MAX(G288*D288*I288,0)</x:f>
        <x:v>528.6548067323699</x:v>
      </x:c>
      <x:c r="K288" s="563" t="n">
        <x:f>MAX(MIN(J288*F288,H288),0)</x:f>
        <x:v>211.46192269294798</x:v>
      </x:c>
      <x:c r="L288" s="563" t="n">
        <x:f>MAX(J288-K288,0)</x:f>
        <x:v>317.192884039422</x:v>
      </x:c>
      <x:c r="M288" s="185" t="n">
        <x:f>MAX('詳細設定'!$D$6,0)*(1+'詳細設定'!$D$21)^(B288-1)</x:f>
        <x:v>36.060535</x:v>
      </x:c>
      <x:c r="N288" s="185" t="n">
        <x:f>IF(B288&lt;=MAX(MIN('詳細設定'!$D$8,20),0),MAX('詳細設定'!$D$7,0),IF(B288&lt;=MAX(MIN('詳細設定'!$D$10,20),0),MAX('詳細設定'!$D$9,0),MAX('詳細設定'!$D$11,0)))</x:f>
        <x:v>24</x:v>
      </x:c>
      <x:c r="O288" s="190" t="n">
        <x:f>K288*M288</x:f>
        <x:v>7625.430064436345</x:v>
      </x:c>
      <x:c r="P288" s="190" t="n">
        <x:f>L288*N288</x:f>
        <x:v>7612.629216946128</x:v>
      </x:c>
      <x:c r="Q288" s="190" t="n">
        <x:f>O288+P288</x:f>
        <x:v>15238.059281382473</x:v>
      </x:c>
      <x:c r="R288" s="196" t="n">
        <x:f>J288-K288-L288</x:f>
        <x:v>0</x:v>
      </x:c>
    </x:row>
    <x:row r="289">
      <x:c r="A289" s="20" t="str">
        <x:v>標準</x:v>
      </x:c>
      <x:c r="B289" s="20" t="n">
        <x:v>4</x:v>
      </x:c>
      <x:c r="C289" s="20" t="n">
        <x:v>9</x:v>
      </x:c>
      <x:c r="D289" s="189" t="n">
        <x:v>1</x:v>
      </x:c>
      <x:c r="E289" s="189" t="n">
        <x:v>1</x:v>
      </x:c>
      <x:c r="F289" s="189" t="n">
        <x:f>MAX(MIN('詳細設定'!$D$15+0,1),0)</x:f>
        <x:v>0.4</x:v>
      </x:c>
      <x:c r="G289" s="563" t="n">
        <x:f>'_計算月次'!$J$13</x:f>
        <x:v>436.37734765103465</x:v>
      </x:c>
      <x:c r="H289" s="563" t="n">
        <x:f>'_計算月次'!$K$13</x:f>
        <x:v>360</x:v>
      </x:c>
      <x:c r="I289" s="563" t="n">
        <x:f>(1-MAX(MIN('詳細設定'!$D$16,0.999999),0))^(B289-1)</x:f>
        <x:v>1</x:v>
      </x:c>
      <x:c r="J289" s="563" t="n">
        <x:f>MAX(G289*D289*I289,0)</x:f>
        <x:v>436.37734765103465</x:v>
      </x:c>
      <x:c r="K289" s="563" t="n">
        <x:f>MAX(MIN(J289*F289,H289),0)</x:f>
        <x:v>174.55093906041387</x:v>
      </x:c>
      <x:c r="L289" s="563" t="n">
        <x:f>MAX(J289-K289,0)</x:f>
        <x:v>261.82640859062076</x:v>
      </x:c>
      <x:c r="M289" s="185" t="n">
        <x:f>MAX('詳細設定'!$D$6,0)*(1+'詳細設定'!$D$21)^(B289-1)</x:f>
        <x:v>36.060535</x:v>
      </x:c>
      <x:c r="N289" s="185" t="n">
        <x:f>IF(B289&lt;=MAX(MIN('詳細設定'!$D$8,20),0),MAX('詳細設定'!$D$7,0),IF(B289&lt;=MAX(MIN('詳細設定'!$D$10,20),0),MAX('詳細設定'!$D$9,0),MAX('詳細設定'!$D$11,0)))</x:f>
        <x:v>24</x:v>
      </x:c>
      <x:c r="O289" s="190" t="n">
        <x:f>K289*M289</x:f>
        <x:v>6294.400247270922</x:v>
      </x:c>
      <x:c r="P289" s="190" t="n">
        <x:f>L289*N289</x:f>
        <x:v>6283.833806174898</x:v>
      </x:c>
      <x:c r="Q289" s="190" t="n">
        <x:f>O289+P289</x:f>
        <x:v>12578.23405344582</x:v>
      </x:c>
      <x:c r="R289" s="196" t="n">
        <x:f>J289-K289-L289</x:f>
        <x:v>0</x:v>
      </x:c>
    </x:row>
    <x:row r="290">
      <x:c r="A290" s="20" t="str">
        <x:v>標準</x:v>
      </x:c>
      <x:c r="B290" s="20" t="n">
        <x:v>4</x:v>
      </x:c>
      <x:c r="C290" s="20" t="n">
        <x:v>10</x:v>
      </x:c>
      <x:c r="D290" s="189" t="n">
        <x:v>1</x:v>
      </x:c>
      <x:c r="E290" s="189" t="n">
        <x:v>1</x:v>
      </x:c>
      <x:c r="F290" s="189" t="n">
        <x:f>MAX(MIN('詳細設定'!$D$15+0,1),0)</x:f>
        <x:v>0.4</x:v>
      </x:c>
      <x:c r="G290" s="563" t="n">
        <x:f>'_計算月次'!$J$14</x:f>
        <x:v>408.8269849869007</x:v>
      </x:c>
      <x:c r="H290" s="563" t="n">
        <x:f>'_計算月次'!$K$14</x:f>
        <x:v>315.00000000000006</x:v>
      </x:c>
      <x:c r="I290" s="563" t="n">
        <x:f>(1-MAX(MIN('詳細設定'!$D$16,0.999999),0))^(B290-1)</x:f>
        <x:v>1</x:v>
      </x:c>
      <x:c r="J290" s="563" t="n">
        <x:f>MAX(G290*D290*I290,0)</x:f>
        <x:v>408.8269849869007</x:v>
      </x:c>
      <x:c r="K290" s="563" t="n">
        <x:f>MAX(MIN(J290*F290,H290),0)</x:f>
        <x:v>163.5307939947603</x:v>
      </x:c>
      <x:c r="L290" s="563" t="n">
        <x:f>MAX(J290-K290,0)</x:f>
        <x:v>245.2961909921404</x:v>
      </x:c>
      <x:c r="M290" s="185" t="n">
        <x:f>MAX('詳細設定'!$D$6,0)*(1+'詳細設定'!$D$21)^(B290-1)</x:f>
        <x:v>36.060535</x:v>
      </x:c>
      <x:c r="N290" s="185" t="n">
        <x:f>IF(B290&lt;=MAX(MIN('詳細設定'!$D$8,20),0),MAX('詳細設定'!$D$7,0),IF(B290&lt;=MAX(MIN('詳細設定'!$D$10,20),0),MAX('詳細設定'!$D$9,0),MAX('詳細設定'!$D$11,0)))</x:f>
        <x:v>24</x:v>
      </x:c>
      <x:c r="O290" s="190" t="n">
        <x:f>K290*M290</x:f>
        <x:v>5897.007920425844</x:v>
      </x:c>
      <x:c r="P290" s="190" t="n">
        <x:f>L290*N290</x:f>
        <x:v>5887.1085838113695</x:v>
      </x:c>
      <x:c r="Q290" s="190" t="n">
        <x:f>O290+P290</x:f>
        <x:v>11784.116504237212</x:v>
      </x:c>
      <x:c r="R290" s="196" t="n">
        <x:f>J290-K290-L290</x:f>
        <x:v>0</x:v>
      </x:c>
    </x:row>
    <x:row r="291">
      <x:c r="A291" s="20" t="str">
        <x:v>標準</x:v>
      </x:c>
      <x:c r="B291" s="20" t="n">
        <x:v>4</x:v>
      </x:c>
      <x:c r="C291" s="20" t="n">
        <x:v>11</x:v>
      </x:c>
      <x:c r="D291" s="189" t="n">
        <x:v>1</x:v>
      </x:c>
      <x:c r="E291" s="189" t="n">
        <x:v>1</x:v>
      </x:c>
      <x:c r="F291" s="189" t="n">
        <x:f>MAX(MIN('詳細設定'!$D$15+0,1),0)</x:f>
        <x:v>0.4</x:v>
      </x:c>
      <x:c r="G291" s="563" t="n">
        <x:f>'_計算月次'!$J$15</x:f>
        <x:v>398.45169764745054</x:v>
      </x:c>
      <x:c r="H291" s="563" t="n">
        <x:f>'_計算月次'!$K$15</x:f>
        <x:v>360</x:v>
      </x:c>
      <x:c r="I291" s="563" t="n">
        <x:f>(1-MAX(MIN('詳細設定'!$D$16,0.999999),0))^(B291-1)</x:f>
        <x:v>1</x:v>
      </x:c>
      <x:c r="J291" s="563" t="n">
        <x:f>MAX(G291*D291*I291,0)</x:f>
        <x:v>398.45169764745054</x:v>
      </x:c>
      <x:c r="K291" s="563" t="n">
        <x:f>MAX(MIN(J291*F291,H291),0)</x:f>
        <x:v>159.38067905898023</x:v>
      </x:c>
      <x:c r="L291" s="563" t="n">
        <x:f>MAX(J291-K291,0)</x:f>
        <x:v>239.0710185884703</x:v>
      </x:c>
      <x:c r="M291" s="185" t="n">
        <x:f>MAX('詳細設定'!$D$6,0)*(1+'詳細設定'!$D$21)^(B291-1)</x:f>
        <x:v>36.060535</x:v>
      </x:c>
      <x:c r="N291" s="185" t="n">
        <x:f>IF(B291&lt;=MAX(MIN('詳細設定'!$D$8,20),0),MAX('詳細設定'!$D$7,0),IF(B291&lt;=MAX(MIN('詳細設定'!$D$10,20),0),MAX('詳細設定'!$D$9,0),MAX('詳細設定'!$D$11,0)))</x:f>
        <x:v>24</x:v>
      </x:c>
      <x:c r="O291" s="190" t="n">
        <x:f>K291*M291</x:f>
        <x:v>5747.352555530124</x:v>
      </x:c>
      <x:c r="P291" s="190" t="n">
        <x:f>L291*N291</x:f>
        <x:v>5737.704446123287</x:v>
      </x:c>
      <x:c r="Q291" s="190" t="n">
        <x:f>O291+P291</x:f>
        <x:v>11485.057001653411</x:v>
      </x:c>
      <x:c r="R291" s="196" t="n">
        <x:f>J291-K291-L291</x:f>
        <x:v>0</x:v>
      </x:c>
    </x:row>
    <x:row r="292">
      <x:c r="A292" s="20" t="str">
        <x:v>標準</x:v>
      </x:c>
      <x:c r="B292" s="20" t="n">
        <x:v>4</x:v>
      </x:c>
      <x:c r="C292" s="20" t="n">
        <x:v>12</x:v>
      </x:c>
      <x:c r="D292" s="189" t="n">
        <x:v>1</x:v>
      </x:c>
      <x:c r="E292" s="189" t="n">
        <x:v>1</x:v>
      </x:c>
      <x:c r="F292" s="189" t="n">
        <x:f>MAX(MIN('詳細設定'!$D$15+0,1),0)</x:f>
        <x:v>0.4</x:v>
      </x:c>
      <x:c r="G292" s="563" t="n">
        <x:f>'_計算月次'!$J$16</x:f>
        <x:v>443.97248688000184</x:v>
      </x:c>
      <x:c r="H292" s="563" t="n">
        <x:f>'_計算月次'!$K$16</x:f>
        <x:v>405</x:v>
      </x:c>
      <x:c r="I292" s="563" t="n">
        <x:f>(1-MAX(MIN('詳細設定'!$D$16,0.999999),0))^(B292-1)</x:f>
        <x:v>1</x:v>
      </x:c>
      <x:c r="J292" s="563" t="n">
        <x:f>MAX(G292*D292*I292,0)</x:f>
        <x:v>443.97248688000184</x:v>
      </x:c>
      <x:c r="K292" s="563" t="n">
        <x:f>MAX(MIN(J292*F292,H292),0)</x:f>
        <x:v>177.58899475200076</x:v>
      </x:c>
      <x:c r="L292" s="563" t="n">
        <x:f>MAX(J292-K292,0)</x:f>
        <x:v>266.3834921280011</x:v>
      </x:c>
      <x:c r="M292" s="185" t="n">
        <x:f>MAX('詳細設定'!$D$6,0)*(1+'詳細設定'!$D$21)^(B292-1)</x:f>
        <x:v>36.060535</x:v>
      </x:c>
      <x:c r="N292" s="185" t="n">
        <x:f>IF(B292&lt;=MAX(MIN('詳細設定'!$D$8,20),0),MAX('詳細設定'!$D$7,0),IF(B292&lt;=MAX(MIN('詳細設定'!$D$10,20),0),MAX('詳細設定'!$D$9,0),MAX('詳細設定'!$D$11,0)))</x:f>
        <x:v>24</x:v>
      </x:c>
      <x:c r="O292" s="190" t="n">
        <x:f>K292*M292</x:f>
        <x:v>6403.95416086934</x:v>
      </x:c>
      <x:c r="P292" s="190" t="n">
        <x:f>L292*N292</x:f>
        <x:v>6393.203811072026</x:v>
      </x:c>
      <x:c r="Q292" s="190" t="n">
        <x:f>O292+P292</x:f>
        <x:v>12797.157971941366</x:v>
      </x:c>
      <x:c r="R292" s="196" t="n">
        <x:f>J292-K292-L292</x:f>
        <x:v>0</x:v>
      </x:c>
    </x:row>
    <x:row r="293">
      <x:c r="A293" s="20" t="str">
        <x:v>標準</x:v>
      </x:c>
      <x:c r="B293" s="20" t="n">
        <x:v>5</x:v>
      </x:c>
      <x:c r="C293" s="20" t="n">
        <x:v>1</x:v>
      </x:c>
      <x:c r="D293" s="189" t="n">
        <x:v>1</x:v>
      </x:c>
      <x:c r="E293" s="189" t="n">
        <x:v>1</x:v>
      </x:c>
      <x:c r="F293" s="189" t="n">
        <x:f>MAX(MIN('詳細設定'!$D$15+0,1),0)</x:f>
        <x:v>0.4</x:v>
      </x:c>
      <x:c r="G293" s="563" t="n">
        <x:f>'_計算月次'!$J$5</x:f>
        <x:v>502.4147595742038</x:v>
      </x:c>
      <x:c r="H293" s="563" t="n">
        <x:f>'_計算月次'!$K$5</x:f>
        <x:v>450</x:v>
      </x:c>
      <x:c r="I293" s="563" t="n">
        <x:f>(1-MAX(MIN('詳細設定'!$D$16,0.999999),0))^(B293-1)</x:f>
        <x:v>1</x:v>
      </x:c>
      <x:c r="J293" s="563" t="n">
        <x:f>MAX(G293*D293*I293,0)</x:f>
        <x:v>502.4147595742038</x:v>
      </x:c>
      <x:c r="K293" s="563" t="n">
        <x:f>MAX(MIN(J293*F293,H293),0)</x:f>
        <x:v>200.96590382968154</x:v>
      </x:c>
      <x:c r="L293" s="563" t="n">
        <x:f>MAX(J293-K293,0)</x:f>
        <x:v>301.44885574452223</x:v>
      </x:c>
      <x:c r="M293" s="185" t="n">
        <x:f>MAX('詳細設定'!$D$6,0)*(1+'詳細設定'!$D$21)^(B293-1)</x:f>
        <x:v>36.42114035</x:v>
      </x:c>
      <x:c r="N293" s="185" t="n">
        <x:f>IF(B293&lt;=MAX(MIN('詳細設定'!$D$8,20),0),MAX('詳細設定'!$D$7,0),IF(B293&lt;=MAX(MIN('詳細設定'!$D$10,20),0),MAX('詳細設定'!$D$9,0),MAX('詳細設定'!$D$11,0)))</x:f>
        <x:v>8.3</x:v>
      </x:c>
      <x:c r="O293" s="190" t="n">
        <x:f>K293*M293</x:f>
        <x:v>7319.407388945434</x:v>
      </x:c>
      <x:c r="P293" s="190" t="n">
        <x:f>L293*N293</x:f>
        <x:v>2502.025502679535</x:v>
      </x:c>
      <x:c r="Q293" s="190" t="n">
        <x:f>O293+P293</x:f>
        <x:v>9821.432891624969</x:v>
      </x:c>
      <x:c r="R293" s="196" t="n">
        <x:f>J293-K293-L293</x:f>
        <x:v>0</x:v>
      </x:c>
    </x:row>
    <x:row r="294">
      <x:c r="A294" s="20" t="str">
        <x:v>標準</x:v>
      </x:c>
      <x:c r="B294" s="20" t="n">
        <x:v>5</x:v>
      </x:c>
      <x:c r="C294" s="20" t="n">
        <x:v>2</x:v>
      </x:c>
      <x:c r="D294" s="189" t="n">
        <x:v>1</x:v>
      </x:c>
      <x:c r="E294" s="189" t="n">
        <x:v>1</x:v>
      </x:c>
      <x:c r="F294" s="189" t="n">
        <x:f>MAX(MIN('詳細設定'!$D$15+0,1),0)</x:f>
        <x:v>0.4</x:v>
      </x:c>
      <x:c r="G294" s="563" t="n">
        <x:f>'_計算月次'!$J$6</x:f>
        <x:v>472.4508339500229</x:v>
      </x:c>
      <x:c r="H294" s="563" t="n">
        <x:f>'_計算月次'!$K$6</x:f>
        <x:v>405</x:v>
      </x:c>
      <x:c r="I294" s="563" t="n">
        <x:f>(1-MAX(MIN('詳細設定'!$D$16,0.999999),0))^(B294-1)</x:f>
        <x:v>1</x:v>
      </x:c>
      <x:c r="J294" s="563" t="n">
        <x:f>MAX(G294*D294*I294,0)</x:f>
        <x:v>472.4508339500229</x:v>
      </x:c>
      <x:c r="K294" s="563" t="n">
        <x:f>MAX(MIN(J294*F294,H294),0)</x:f>
        <x:v>188.9803335800092</x:v>
      </x:c>
      <x:c r="L294" s="563" t="n">
        <x:f>MAX(J294-K294,0)</x:f>
        <x:v>283.4705003700137</x:v>
      </x:c>
      <x:c r="M294" s="185" t="n">
        <x:f>MAX('詳細設定'!$D$6,0)*(1+'詳細設定'!$D$21)^(B294-1)</x:f>
        <x:v>36.42114035</x:v>
      </x:c>
      <x:c r="N294" s="185" t="n">
        <x:f>IF(B294&lt;=MAX(MIN('詳細設定'!$D$8,20),0),MAX('詳細設定'!$D$7,0),IF(B294&lt;=MAX(MIN('詳細設定'!$D$10,20),0),MAX('詳細設定'!$D$9,0),MAX('詳細設定'!$D$11,0)))</x:f>
        <x:v>8.3</x:v>
      </x:c>
      <x:c r="O294" s="190" t="n">
        <x:f>K294*M294</x:f>
        <x:v>6882.879252707333</x:v>
      </x:c>
      <x:c r="P294" s="190" t="n">
        <x:f>L294*N294</x:f>
        <x:v>2352.805153071114</x:v>
      </x:c>
      <x:c r="Q294" s="190" t="n">
        <x:f>O294+P294</x:f>
        <x:v>9235.684405778447</x:v>
      </x:c>
      <x:c r="R294" s="196" t="n">
        <x:f>J294-K294-L294</x:f>
        <x:v>0</x:v>
      </x:c>
    </x:row>
    <x:row r="295">
      <x:c r="A295" s="20" t="str">
        <x:v>標準</x:v>
      </x:c>
      <x:c r="B295" s="20" t="n">
        <x:v>5</x:v>
      </x:c>
      <x:c r="C295" s="20" t="n">
        <x:v>3</x:v>
      </x:c>
      <x:c r="D295" s="189" t="n">
        <x:v>1</x:v>
      </x:c>
      <x:c r="E295" s="189" t="n">
        <x:v>1</x:v>
      </x:c>
      <x:c r="F295" s="189" t="n">
        <x:f>MAX(MIN('詳細設定'!$D$15+0,1),0)</x:f>
        <x:v>0.4</x:v>
      </x:c>
      <x:c r="G295" s="563" t="n">
        <x:f>'_計算月次'!$J$7</x:f>
        <x:v>548.3418864753118</x:v>
      </x:c>
      <x:c r="H295" s="563" t="n">
        <x:f>'_計算月次'!$K$7</x:f>
        <x:v>360</x:v>
      </x:c>
      <x:c r="I295" s="563" t="n">
        <x:f>(1-MAX(MIN('詳細設定'!$D$16,0.999999),0))^(B295-1)</x:f>
        <x:v>1</x:v>
      </x:c>
      <x:c r="J295" s="563" t="n">
        <x:f>MAX(G295*D295*I295,0)</x:f>
        <x:v>548.3418864753118</x:v>
      </x:c>
      <x:c r="K295" s="563" t="n">
        <x:f>MAX(MIN(J295*F295,H295),0)</x:f>
        <x:v>219.3367545901247</x:v>
      </x:c>
      <x:c r="L295" s="563" t="n">
        <x:f>MAX(J295-K295,0)</x:f>
        <x:v>329.00513188518704</x:v>
      </x:c>
      <x:c r="M295" s="185" t="n">
        <x:f>MAX('詳細設定'!$D$6,0)*(1+'詳細設定'!$D$21)^(B295-1)</x:f>
        <x:v>36.42114035</x:v>
      </x:c>
      <x:c r="N295" s="185" t="n">
        <x:f>IF(B295&lt;=MAX(MIN('詳細設定'!$D$8,20),0),MAX('詳細設定'!$D$7,0),IF(B295&lt;=MAX(MIN('詳細設定'!$D$10,20),0),MAX('詳細設定'!$D$9,0),MAX('詳細設定'!$D$11,0)))</x:f>
        <x:v>8.3</x:v>
      </x:c>
      <x:c r="O295" s="190" t="n">
        <x:f>K295*M295</x:f>
        <x:v>7988.494722840439</x:v>
      </x:c>
      <x:c r="P295" s="190" t="n">
        <x:f>L295*N295</x:f>
        <x:v>2730.7425946470526</x:v>
      </x:c>
      <x:c r="Q295" s="190" t="n">
        <x:f>O295+P295</x:f>
        <x:v>10719.237317487492</x:v>
      </x:c>
      <x:c r="R295" s="196" t="n">
        <x:f>J295-K295-L295</x:f>
        <x:v>0</x:v>
      </x:c>
    </x:row>
    <x:row r="296">
      <x:c r="A296" s="20" t="str">
        <x:v>標準</x:v>
      </x:c>
      <x:c r="B296" s="20" t="n">
        <x:v>5</x:v>
      </x:c>
      <x:c r="C296" s="20" t="n">
        <x:v>4</x:v>
      </x:c>
      <x:c r="D296" s="189" t="n">
        <x:v>1</x:v>
      </x:c>
      <x:c r="E296" s="189" t="n">
        <x:v>1</x:v>
      </x:c>
      <x:c r="F296" s="189" t="n">
        <x:f>MAX(MIN('詳細設定'!$D$15+0,1),0)</x:f>
        <x:v>0.4</x:v>
      </x:c>
      <x:c r="G296" s="563" t="n">
        <x:f>'_計算月次'!$J$8</x:f>
        <x:v>548.3944393749554</x:v>
      </x:c>
      <x:c r="H296" s="563" t="n">
        <x:f>'_計算月次'!$K$8</x:f>
        <x:v>315.00000000000006</x:v>
      </x:c>
      <x:c r="I296" s="563" t="n">
        <x:f>(1-MAX(MIN('詳細設定'!$D$16,0.999999),0))^(B296-1)</x:f>
        <x:v>1</x:v>
      </x:c>
      <x:c r="J296" s="563" t="n">
        <x:f>MAX(G296*D296*I296,0)</x:f>
        <x:v>548.3944393749554</x:v>
      </x:c>
      <x:c r="K296" s="563" t="n">
        <x:f>MAX(MIN(J296*F296,H296),0)</x:f>
        <x:v>219.35777574998215</x:v>
      </x:c>
      <x:c r="L296" s="563" t="n">
        <x:f>MAX(J296-K296,0)</x:f>
        <x:v>329.03666362497324</x:v>
      </x:c>
      <x:c r="M296" s="185" t="n">
        <x:f>MAX('詳細設定'!$D$6,0)*(1+'詳細設定'!$D$21)^(B296-1)</x:f>
        <x:v>36.42114035</x:v>
      </x:c>
      <x:c r="N296" s="185" t="n">
        <x:f>IF(B296&lt;=MAX(MIN('詳細設定'!$D$8,20),0),MAX('詳細設定'!$D$7,0),IF(B296&lt;=MAX(MIN('詳細設定'!$D$10,20),0),MAX('詳細設定'!$D$9,0),MAX('詳細設定'!$D$11,0)))</x:f>
        <x:v>8.3</x:v>
      </x:c>
      <x:c r="O296" s="190" t="n">
        <x:f>K296*M296</x:f>
        <x:v>7989.260337453927</x:v>
      </x:c>
      <x:c r="P296" s="190" t="n">
        <x:f>L296*N296</x:f>
        <x:v>2731.0043080872783</x:v>
      </x:c>
      <x:c r="Q296" s="190" t="n">
        <x:f>O296+P296</x:f>
        <x:v>10720.264645541205</x:v>
      </x:c>
      <x:c r="R296" s="196" t="n">
        <x:f>J296-K296-L296</x:f>
        <x:v>0</x:v>
      </x:c>
    </x:row>
    <x:row r="297">
      <x:c r="A297" s="20" t="str">
        <x:v>標準</x:v>
      </x:c>
      <x:c r="B297" s="20" t="n">
        <x:v>5</x:v>
      </x:c>
      <x:c r="C297" s="20" t="n">
        <x:v>5</x:v>
      </x:c>
      <x:c r="D297" s="189" t="n">
        <x:v>1</x:v>
      </x:c>
      <x:c r="E297" s="189" t="n">
        <x:v>1</x:v>
      </x:c>
      <x:c r="F297" s="189" t="n">
        <x:f>MAX(MIN('詳細設定'!$D$15+0,1),0)</x:f>
        <x:v>0.4</x:v>
      </x:c>
      <x:c r="G297" s="563" t="n">
        <x:f>'_計算月次'!$J$9</x:f>
        <x:v>552.2367574934775</x:v>
      </x:c>
      <x:c r="H297" s="563" t="n">
        <x:f>'_計算月次'!$K$9</x:f>
        <x:v>315.00000000000006</x:v>
      </x:c>
      <x:c r="I297" s="563" t="n">
        <x:f>(1-MAX(MIN('詳細設定'!$D$16,0.999999),0))^(B297-1)</x:f>
        <x:v>1</x:v>
      </x:c>
      <x:c r="J297" s="563" t="n">
        <x:f>MAX(G297*D297*I297,0)</x:f>
        <x:v>552.2367574934775</x:v>
      </x:c>
      <x:c r="K297" s="563" t="n">
        <x:f>MAX(MIN(J297*F297,H297),0)</x:f>
        <x:v>220.89470299739102</x:v>
      </x:c>
      <x:c r="L297" s="563" t="n">
        <x:f>MAX(J297-K297,0)</x:f>
        <x:v>331.34205449608646</x:v>
      </x:c>
      <x:c r="M297" s="185" t="n">
        <x:f>MAX('詳細設定'!$D$6,0)*(1+'詳細設定'!$D$21)^(B297-1)</x:f>
        <x:v>36.42114035</x:v>
      </x:c>
      <x:c r="N297" s="185" t="n">
        <x:f>IF(B297&lt;=MAX(MIN('詳細設定'!$D$8,20),0),MAX('詳細設定'!$D$7,0),IF(B297&lt;=MAX(MIN('詳細設定'!$D$10,20),0),MAX('詳細設定'!$D$9,0),MAX('詳細設定'!$D$11,0)))</x:f>
        <x:v>8.3</x:v>
      </x:c>
      <x:c r="O297" s="190" t="n">
        <x:f>K297*M297</x:f>
        <x:v>8045.236980439545</x:v>
      </x:c>
      <x:c r="P297" s="190" t="n">
        <x:f>L297*N297</x:f>
        <x:v>2750.139052317518</x:v>
      </x:c>
      <x:c r="Q297" s="190" t="n">
        <x:f>O297+P297</x:f>
        <x:v>10795.376032757064</x:v>
      </x:c>
      <x:c r="R297" s="196" t="n">
        <x:f>J297-K297-L297</x:f>
        <x:v>0</x:v>
      </x:c>
    </x:row>
    <x:row r="298">
      <x:c r="A298" s="20" t="str">
        <x:v>標準</x:v>
      </x:c>
      <x:c r="B298" s="20" t="n">
        <x:v>5</x:v>
      </x:c>
      <x:c r="C298" s="20" t="n">
        <x:v>6</x:v>
      </x:c>
      <x:c r="D298" s="189" t="n">
        <x:v>1</x:v>
      </x:c>
      <x:c r="E298" s="189" t="n">
        <x:v>1</x:v>
      </x:c>
      <x:c r="F298" s="189" t="n">
        <x:f>MAX(MIN('詳細設定'!$D$15+0,1),0)</x:f>
        <x:v>0.4</x:v>
      </x:c>
      <x:c r="G298" s="563" t="n">
        <x:f>'_計算月次'!$J$10</x:f>
        <x:v>448.7994857612148</x:v>
      </x:c>
      <x:c r="H298" s="563" t="n">
        <x:f>'_計算月次'!$K$10</x:f>
        <x:v>360</x:v>
      </x:c>
      <x:c r="I298" s="563" t="n">
        <x:f>(1-MAX(MIN('詳細設定'!$D$16,0.999999),0))^(B298-1)</x:f>
        <x:v>1</x:v>
      </x:c>
      <x:c r="J298" s="563" t="n">
        <x:f>MAX(G298*D298*I298,0)</x:f>
        <x:v>448.7994857612148</x:v>
      </x:c>
      <x:c r="K298" s="563" t="n">
        <x:f>MAX(MIN(J298*F298,H298),0)</x:f>
        <x:v>179.5197943044859</x:v>
      </x:c>
      <x:c r="L298" s="563" t="n">
        <x:f>MAX(J298-K298,0)</x:f>
        <x:v>269.27969145672887</x:v>
      </x:c>
      <x:c r="M298" s="185" t="n">
        <x:f>MAX('詳細設定'!$D$6,0)*(1+'詳細設定'!$D$21)^(B298-1)</x:f>
        <x:v>36.42114035</x:v>
      </x:c>
      <x:c r="N298" s="185" t="n">
        <x:f>IF(B298&lt;=MAX(MIN('詳細設定'!$D$8,20),0),MAX('詳細設定'!$D$7,0),IF(B298&lt;=MAX(MIN('詳細設定'!$D$10,20),0),MAX('詳細設定'!$D$9,0),MAX('詳細設定'!$D$11,0)))</x:f>
        <x:v>8.3</x:v>
      </x:c>
      <x:c r="O298" s="190" t="n">
        <x:f>K298*M298</x:f>
        <x:v>6538.315623966812</x:v>
      </x:c>
      <x:c r="P298" s="190" t="n">
        <x:f>L298*N298</x:f>
        <x:v>2235.02143909085</x:v>
      </x:c>
      <x:c r="Q298" s="190" t="n">
        <x:f>O298+P298</x:f>
        <x:v>8773.337063057663</x:v>
      </x:c>
      <x:c r="R298" s="196" t="n">
        <x:f>J298-K298-L298</x:f>
        <x:v>0</x:v>
      </x:c>
    </x:row>
    <x:row r="299">
      <x:c r="A299" s="20" t="str">
        <x:v>標準</x:v>
      </x:c>
      <x:c r="B299" s="20" t="n">
        <x:v>5</x:v>
      </x:c>
      <x:c r="C299" s="20" t="n">
        <x:v>7</x:v>
      </x:c>
      <x:c r="D299" s="189" t="n">
        <x:v>1</x:v>
      </x:c>
      <x:c r="E299" s="189" t="n">
        <x:v>1</x:v>
      </x:c>
      <x:c r="F299" s="189" t="n">
        <x:f>MAX(MIN('詳細設定'!$D$15+0,1),0)</x:f>
        <x:v>0.4</x:v>
      </x:c>
      <x:c r="G299" s="563" t="n">
        <x:f>'_計算月次'!$J$11</x:f>
        <x:v>476.0181638067866</x:v>
      </x:c>
      <x:c r="H299" s="563" t="n">
        <x:f>'_計算月次'!$K$11</x:f>
        <x:v>405</x:v>
      </x:c>
      <x:c r="I299" s="563" t="n">
        <x:f>(1-MAX(MIN('詳細設定'!$D$16,0.999999),0))^(B299-1)</x:f>
        <x:v>1</x:v>
      </x:c>
      <x:c r="J299" s="563" t="n">
        <x:f>MAX(G299*D299*I299,0)</x:f>
        <x:v>476.0181638067866</x:v>
      </x:c>
      <x:c r="K299" s="563" t="n">
        <x:f>MAX(MIN(J299*F299,H299),0)</x:f>
        <x:v>190.40726552271465</x:v>
      </x:c>
      <x:c r="L299" s="563" t="n">
        <x:f>MAX(J299-K299,0)</x:f>
        <x:v>285.61089828407194</x:v>
      </x:c>
      <x:c r="M299" s="185" t="n">
        <x:f>MAX('詳細設定'!$D$6,0)*(1+'詳細設定'!$D$21)^(B299-1)</x:f>
        <x:v>36.42114035</x:v>
      </x:c>
      <x:c r="N299" s="185" t="n">
        <x:f>IF(B299&lt;=MAX(MIN('詳細設定'!$D$8,20),0),MAX('詳細設定'!$D$7,0),IF(B299&lt;=MAX(MIN('詳細設定'!$D$10,20),0),MAX('詳細設定'!$D$9,0),MAX('詳細設定'!$D$11,0)))</x:f>
        <x:v>8.3</x:v>
      </x:c>
      <x:c r="O299" s="190" t="n">
        <x:f>K299*M299</x:f>
        <x:v>6934.8497412625065</x:v>
      </x:c>
      <x:c r="P299" s="190" t="n">
        <x:f>L299*N299</x:f>
        <x:v>2370.5704557577974</x:v>
      </x:c>
      <x:c r="Q299" s="190" t="n">
        <x:f>O299+P299</x:f>
        <x:v>9305.420197020303</x:v>
      </x:c>
      <x:c r="R299" s="196" t="n">
        <x:f>J299-K299-L299</x:f>
        <x:v>0</x:v>
      </x:c>
    </x:row>
    <x:row r="300">
      <x:c r="A300" s="20" t="str">
        <x:v>標準</x:v>
      </x:c>
      <x:c r="B300" s="20" t="n">
        <x:v>5</x:v>
      </x:c>
      <x:c r="C300" s="20" t="n">
        <x:v>8</x:v>
      </x:c>
      <x:c r="D300" s="189" t="n">
        <x:v>1</x:v>
      </x:c>
      <x:c r="E300" s="189" t="n">
        <x:v>1</x:v>
      </x:c>
      <x:c r="F300" s="189" t="n">
        <x:f>MAX(MIN('詳細設定'!$D$15+0,1),0)</x:f>
        <x:v>0.4</x:v>
      </x:c>
      <x:c r="G300" s="563" t="n">
        <x:f>'_計算月次'!$J$12</x:f>
        <x:v>528.6548067323699</x:v>
      </x:c>
      <x:c r="H300" s="563" t="n">
        <x:f>'_計算月次'!$K$12</x:f>
        <x:v>450</x:v>
      </x:c>
      <x:c r="I300" s="563" t="n">
        <x:f>(1-MAX(MIN('詳細設定'!$D$16,0.999999),0))^(B300-1)</x:f>
        <x:v>1</x:v>
      </x:c>
      <x:c r="J300" s="563" t="n">
        <x:f>MAX(G300*D300*I300,0)</x:f>
        <x:v>528.6548067323699</x:v>
      </x:c>
      <x:c r="K300" s="563" t="n">
        <x:f>MAX(MIN(J300*F300,H300),0)</x:f>
        <x:v>211.46192269294798</x:v>
      </x:c>
      <x:c r="L300" s="563" t="n">
        <x:f>MAX(J300-K300,0)</x:f>
        <x:v>317.192884039422</x:v>
      </x:c>
      <x:c r="M300" s="185" t="n">
        <x:f>MAX('詳細設定'!$D$6,0)*(1+'詳細設定'!$D$21)^(B300-1)</x:f>
        <x:v>36.42114035</x:v>
      </x:c>
      <x:c r="N300" s="185" t="n">
        <x:f>IF(B300&lt;=MAX(MIN('詳細設定'!$D$8,20),0),MAX('詳細設定'!$D$7,0),IF(B300&lt;=MAX(MIN('詳細設定'!$D$10,20),0),MAX('詳細設定'!$D$9,0),MAX('詳細設定'!$D$11,0)))</x:f>
        <x:v>8.3</x:v>
      </x:c>
      <x:c r="O300" s="190" t="n">
        <x:f>K300*M300</x:f>
        <x:v>7701.684365080709</x:v>
      </x:c>
      <x:c r="P300" s="190" t="n">
        <x:f>L300*N300</x:f>
        <x:v>2632.7009375272028</x:v>
      </x:c>
      <x:c r="Q300" s="190" t="n">
        <x:f>O300+P300</x:f>
        <x:v>10334.385302607912</x:v>
      </x:c>
      <x:c r="R300" s="196" t="n">
        <x:f>J300-K300-L300</x:f>
        <x:v>0</x:v>
      </x:c>
    </x:row>
    <x:row r="301">
      <x:c r="A301" s="20" t="str">
        <x:v>標準</x:v>
      </x:c>
      <x:c r="B301" s="20" t="n">
        <x:v>5</x:v>
      </x:c>
      <x:c r="C301" s="20" t="n">
        <x:v>9</x:v>
      </x:c>
      <x:c r="D301" s="189" t="n">
        <x:v>1</x:v>
      </x:c>
      <x:c r="E301" s="189" t="n">
        <x:v>1</x:v>
      </x:c>
      <x:c r="F301" s="189" t="n">
        <x:f>MAX(MIN('詳細設定'!$D$15+0,1),0)</x:f>
        <x:v>0.4</x:v>
      </x:c>
      <x:c r="G301" s="563" t="n">
        <x:f>'_計算月次'!$J$13</x:f>
        <x:v>436.37734765103465</x:v>
      </x:c>
      <x:c r="H301" s="563" t="n">
        <x:f>'_計算月次'!$K$13</x:f>
        <x:v>360</x:v>
      </x:c>
      <x:c r="I301" s="563" t="n">
        <x:f>(1-MAX(MIN('詳細設定'!$D$16,0.999999),0))^(B301-1)</x:f>
        <x:v>1</x:v>
      </x:c>
      <x:c r="J301" s="563" t="n">
        <x:f>MAX(G301*D301*I301,0)</x:f>
        <x:v>436.37734765103465</x:v>
      </x:c>
      <x:c r="K301" s="563" t="n">
        <x:f>MAX(MIN(J301*F301,H301),0)</x:f>
        <x:v>174.55093906041387</x:v>
      </x:c>
      <x:c r="L301" s="563" t="n">
        <x:f>MAX(J301-K301,0)</x:f>
        <x:v>261.82640859062076</x:v>
      </x:c>
      <x:c r="M301" s="185" t="n">
        <x:f>MAX('詳細設定'!$D$6,0)*(1+'詳細設定'!$D$21)^(B301-1)</x:f>
        <x:v>36.42114035</x:v>
      </x:c>
      <x:c r="N301" s="185" t="n">
        <x:f>IF(B301&lt;=MAX(MIN('詳細設定'!$D$8,20),0),MAX('詳細設定'!$D$7,0),IF(B301&lt;=MAX(MIN('詳細設定'!$D$10,20),0),MAX('詳細設定'!$D$9,0),MAX('詳細設定'!$D$11,0)))</x:f>
        <x:v>8.3</x:v>
      </x:c>
      <x:c r="O301" s="190" t="n">
        <x:f>K301*M301</x:f>
        <x:v>6357.344249743631</x:v>
      </x:c>
      <x:c r="P301" s="190" t="n">
        <x:f>L301*N301</x:f>
        <x:v>2173.1591913021525</x:v>
      </x:c>
      <x:c r="Q301" s="190" t="n">
        <x:f>O301+P301</x:f>
        <x:v>8530.503441045783</x:v>
      </x:c>
      <x:c r="R301" s="196" t="n">
        <x:f>J301-K301-L301</x:f>
        <x:v>0</x:v>
      </x:c>
    </x:row>
    <x:row r="302">
      <x:c r="A302" s="20" t="str">
        <x:v>標準</x:v>
      </x:c>
      <x:c r="B302" s="20" t="n">
        <x:v>5</x:v>
      </x:c>
      <x:c r="C302" s="20" t="n">
        <x:v>10</x:v>
      </x:c>
      <x:c r="D302" s="189" t="n">
        <x:v>1</x:v>
      </x:c>
      <x:c r="E302" s="189" t="n">
        <x:v>1</x:v>
      </x:c>
      <x:c r="F302" s="189" t="n">
        <x:f>MAX(MIN('詳細設定'!$D$15+0,1),0)</x:f>
        <x:v>0.4</x:v>
      </x:c>
      <x:c r="G302" s="563" t="n">
        <x:f>'_計算月次'!$J$14</x:f>
        <x:v>408.8269849869007</x:v>
      </x:c>
      <x:c r="H302" s="563" t="n">
        <x:f>'_計算月次'!$K$14</x:f>
        <x:v>315.00000000000006</x:v>
      </x:c>
      <x:c r="I302" s="563" t="n">
        <x:f>(1-MAX(MIN('詳細設定'!$D$16,0.999999),0))^(B302-1)</x:f>
        <x:v>1</x:v>
      </x:c>
      <x:c r="J302" s="563" t="n">
        <x:f>MAX(G302*D302*I302,0)</x:f>
        <x:v>408.8269849869007</x:v>
      </x:c>
      <x:c r="K302" s="563" t="n">
        <x:f>MAX(MIN(J302*F302,H302),0)</x:f>
        <x:v>163.5307939947603</x:v>
      </x:c>
      <x:c r="L302" s="563" t="n">
        <x:f>MAX(J302-K302,0)</x:f>
        <x:v>245.2961909921404</x:v>
      </x:c>
      <x:c r="M302" s="185" t="n">
        <x:f>MAX('詳細設定'!$D$6,0)*(1+'詳細設定'!$D$21)^(B302-1)</x:f>
        <x:v>36.42114035</x:v>
      </x:c>
      <x:c r="N302" s="185" t="n">
        <x:f>IF(B302&lt;=MAX(MIN('詳細設定'!$D$8,20),0),MAX('詳細設定'!$D$7,0),IF(B302&lt;=MAX(MIN('詳細設定'!$D$10,20),0),MAX('詳細設定'!$D$9,0),MAX('詳細設定'!$D$11,0)))</x:f>
        <x:v>8.3</x:v>
      </x:c>
      <x:c r="O302" s="190" t="n">
        <x:f>K302*M302</x:f>
        <x:v>5955.977999630102</x:v>
      </x:c>
      <x:c r="P302" s="190" t="n">
        <x:f>L302*N302</x:f>
        <x:v>2035.9583852347655</x:v>
      </x:c>
      <x:c r="Q302" s="190" t="n">
        <x:f>O302+P302</x:f>
        <x:v>7991.936384864868</x:v>
      </x:c>
      <x:c r="R302" s="196" t="n">
        <x:f>J302-K302-L302</x:f>
        <x:v>0</x:v>
      </x:c>
    </x:row>
    <x:row r="303">
      <x:c r="A303" s="20" t="str">
        <x:v>標準</x:v>
      </x:c>
      <x:c r="B303" s="20" t="n">
        <x:v>5</x:v>
      </x:c>
      <x:c r="C303" s="20" t="n">
        <x:v>11</x:v>
      </x:c>
      <x:c r="D303" s="189" t="n">
        <x:v>1</x:v>
      </x:c>
      <x:c r="E303" s="189" t="n">
        <x:v>1</x:v>
      </x:c>
      <x:c r="F303" s="189" t="n">
        <x:f>MAX(MIN('詳細設定'!$D$15+0,1),0)</x:f>
        <x:v>0.4</x:v>
      </x:c>
      <x:c r="G303" s="563" t="n">
        <x:f>'_計算月次'!$J$15</x:f>
        <x:v>398.45169764745054</x:v>
      </x:c>
      <x:c r="H303" s="563" t="n">
        <x:f>'_計算月次'!$K$15</x:f>
        <x:v>360</x:v>
      </x:c>
      <x:c r="I303" s="563" t="n">
        <x:f>(1-MAX(MIN('詳細設定'!$D$16,0.999999),0))^(B303-1)</x:f>
        <x:v>1</x:v>
      </x:c>
      <x:c r="J303" s="563" t="n">
        <x:f>MAX(G303*D303*I303,0)</x:f>
        <x:v>398.45169764745054</x:v>
      </x:c>
      <x:c r="K303" s="563" t="n">
        <x:f>MAX(MIN(J303*F303,H303),0)</x:f>
        <x:v>159.38067905898023</x:v>
      </x:c>
      <x:c r="L303" s="563" t="n">
        <x:f>MAX(J303-K303,0)</x:f>
        <x:v>239.0710185884703</x:v>
      </x:c>
      <x:c r="M303" s="185" t="n">
        <x:f>MAX('詳細設定'!$D$6,0)*(1+'詳細設定'!$D$21)^(B303-1)</x:f>
        <x:v>36.42114035</x:v>
      </x:c>
      <x:c r="N303" s="185" t="n">
        <x:f>IF(B303&lt;=MAX(MIN('詳細設定'!$D$8,20),0),MAX('詳細設定'!$D$7,0),IF(B303&lt;=MAX(MIN('詳細設定'!$D$10,20),0),MAX('詳細設定'!$D$9,0),MAX('詳細設定'!$D$11,0)))</x:f>
        <x:v>8.3</x:v>
      </x:c>
      <x:c r="O303" s="190" t="n">
        <x:f>K303*M303</x:f>
        <x:v>5804.826081085425</x:v>
      </x:c>
      <x:c r="P303" s="190" t="n">
        <x:f>L303*N303</x:f>
        <x:v>1984.2894542843037</x:v>
      </x:c>
      <x:c r="Q303" s="190" t="n">
        <x:f>O303+P303</x:f>
        <x:v>7789.115535369729</x:v>
      </x:c>
      <x:c r="R303" s="196" t="n">
        <x:f>J303-K303-L303</x:f>
        <x:v>0</x:v>
      </x:c>
    </x:row>
    <x:row r="304">
      <x:c r="A304" s="20" t="str">
        <x:v>標準</x:v>
      </x:c>
      <x:c r="B304" s="20" t="n">
        <x:v>5</x:v>
      </x:c>
      <x:c r="C304" s="20" t="n">
        <x:v>12</x:v>
      </x:c>
      <x:c r="D304" s="189" t="n">
        <x:v>1</x:v>
      </x:c>
      <x:c r="E304" s="189" t="n">
        <x:v>1</x:v>
      </x:c>
      <x:c r="F304" s="189" t="n">
        <x:f>MAX(MIN('詳細設定'!$D$15+0,1),0)</x:f>
        <x:v>0.4</x:v>
      </x:c>
      <x:c r="G304" s="563" t="n">
        <x:f>'_計算月次'!$J$16</x:f>
        <x:v>443.97248688000184</x:v>
      </x:c>
      <x:c r="H304" s="563" t="n">
        <x:f>'_計算月次'!$K$16</x:f>
        <x:v>405</x:v>
      </x:c>
      <x:c r="I304" s="563" t="n">
        <x:f>(1-MAX(MIN('詳細設定'!$D$16,0.999999),0))^(B304-1)</x:f>
        <x:v>1</x:v>
      </x:c>
      <x:c r="J304" s="563" t="n">
        <x:f>MAX(G304*D304*I304,0)</x:f>
        <x:v>443.97248688000184</x:v>
      </x:c>
      <x:c r="K304" s="563" t="n">
        <x:f>MAX(MIN(J304*F304,H304),0)</x:f>
        <x:v>177.58899475200076</x:v>
      </x:c>
      <x:c r="L304" s="563" t="n">
        <x:f>MAX(J304-K304,0)</x:f>
        <x:v>266.3834921280011</x:v>
      </x:c>
      <x:c r="M304" s="185" t="n">
        <x:f>MAX('詳細設定'!$D$6,0)*(1+'詳細設定'!$D$21)^(B304-1)</x:f>
        <x:v>36.42114035</x:v>
      </x:c>
      <x:c r="N304" s="185" t="n">
        <x:f>IF(B304&lt;=MAX(MIN('詳細設定'!$D$8,20),0),MAX('詳細設定'!$D$7,0),IF(B304&lt;=MAX(MIN('詳細設定'!$D$10,20),0),MAX('詳細設定'!$D$9,0),MAX('詳細設定'!$D$11,0)))</x:f>
        <x:v>8.3</x:v>
      </x:c>
      <x:c r="O304" s="190" t="n">
        <x:f>K304*M304</x:f>
        <x:v>6467.993702478034</x:v>
      </x:c>
      <x:c r="P304" s="190" t="n">
        <x:f>L304*N304</x:f>
        <x:v>2210.9829846624093</x:v>
      </x:c>
      <x:c r="Q304" s="190" t="n">
        <x:f>O304+P304</x:f>
        <x:v>8678.976687140443</x:v>
      </x:c>
      <x:c r="R304" s="196" t="n">
        <x:f>J304-K304-L304</x:f>
        <x:v>0</x:v>
      </x:c>
    </x:row>
    <x:row r="305">
      <x:c r="A305" s="20" t="str">
        <x:v>標準</x:v>
      </x:c>
      <x:c r="B305" s="20" t="n">
        <x:v>6</x:v>
      </x:c>
      <x:c r="C305" s="20" t="n">
        <x:v>1</x:v>
      </x:c>
      <x:c r="D305" s="189" t="n">
        <x:v>1</x:v>
      </x:c>
      <x:c r="E305" s="189" t="n">
        <x:v>1</x:v>
      </x:c>
      <x:c r="F305" s="189" t="n">
        <x:f>MAX(MIN('詳細設定'!$D$15+0,1),0)</x:f>
        <x:v>0.4</x:v>
      </x:c>
      <x:c r="G305" s="563" t="n">
        <x:f>'_計算月次'!$J$5</x:f>
        <x:v>502.4147595742038</x:v>
      </x:c>
      <x:c r="H305" s="563" t="n">
        <x:f>'_計算月次'!$K$5</x:f>
        <x:v>450</x:v>
      </x:c>
      <x:c r="I305" s="563" t="n">
        <x:f>(1-MAX(MIN('詳細設定'!$D$16,0.999999),0))^(B305-1)</x:f>
        <x:v>1</x:v>
      </x:c>
      <x:c r="J305" s="563" t="n">
        <x:f>MAX(G305*D305*I305,0)</x:f>
        <x:v>502.4147595742038</x:v>
      </x:c>
      <x:c r="K305" s="563" t="n">
        <x:f>MAX(MIN(J305*F305,H305),0)</x:f>
        <x:v>200.96590382968154</x:v>
      </x:c>
      <x:c r="L305" s="563" t="n">
        <x:f>MAX(J305-K305,0)</x:f>
        <x:v>301.44885574452223</x:v>
      </x:c>
      <x:c r="M305" s="185" t="n">
        <x:f>MAX('詳細設定'!$D$6,0)*(1+'詳細設定'!$D$21)^(B305-1)</x:f>
        <x:v>36.7853517535</x:v>
      </x:c>
      <x:c r="N305" s="185" t="n">
        <x:f>IF(B305&lt;=MAX(MIN('詳細設定'!$D$8,20),0),MAX('詳細設定'!$D$7,0),IF(B305&lt;=MAX(MIN('詳細設定'!$D$10,20),0),MAX('詳細設定'!$D$9,0),MAX('詳細設定'!$D$11,0)))</x:f>
        <x:v>8.3</x:v>
      </x:c>
      <x:c r="O305" s="190" t="n">
        <x:f>K305*M305</x:f>
        <x:v>7392.6014628348885</x:v>
      </x:c>
      <x:c r="P305" s="190" t="n">
        <x:f>L305*N305</x:f>
        <x:v>2502.025502679535</x:v>
      </x:c>
      <x:c r="Q305" s="190" t="n">
        <x:f>O305+P305</x:f>
        <x:v>9894.626965514424</x:v>
      </x:c>
      <x:c r="R305" s="196" t="n">
        <x:f>J305-K305-L305</x:f>
        <x:v>0</x:v>
      </x:c>
    </x:row>
    <x:row r="306">
      <x:c r="A306" s="20" t="str">
        <x:v>標準</x:v>
      </x:c>
      <x:c r="B306" s="20" t="n">
        <x:v>6</x:v>
      </x:c>
      <x:c r="C306" s="20" t="n">
        <x:v>2</x:v>
      </x:c>
      <x:c r="D306" s="189" t="n">
        <x:v>1</x:v>
      </x:c>
      <x:c r="E306" s="189" t="n">
        <x:v>1</x:v>
      </x:c>
      <x:c r="F306" s="189" t="n">
        <x:f>MAX(MIN('詳細設定'!$D$15+0,1),0)</x:f>
        <x:v>0.4</x:v>
      </x:c>
      <x:c r="G306" s="563" t="n">
        <x:f>'_計算月次'!$J$6</x:f>
        <x:v>472.4508339500229</x:v>
      </x:c>
      <x:c r="H306" s="563" t="n">
        <x:f>'_計算月次'!$K$6</x:f>
        <x:v>405</x:v>
      </x:c>
      <x:c r="I306" s="563" t="n">
        <x:f>(1-MAX(MIN('詳細設定'!$D$16,0.999999),0))^(B306-1)</x:f>
        <x:v>1</x:v>
      </x:c>
      <x:c r="J306" s="563" t="n">
        <x:f>MAX(G306*D306*I306,0)</x:f>
        <x:v>472.4508339500229</x:v>
      </x:c>
      <x:c r="K306" s="563" t="n">
        <x:f>MAX(MIN(J306*F306,H306),0)</x:f>
        <x:v>188.9803335800092</x:v>
      </x:c>
      <x:c r="L306" s="563" t="n">
        <x:f>MAX(J306-K306,0)</x:f>
        <x:v>283.4705003700137</x:v>
      </x:c>
      <x:c r="M306" s="185" t="n">
        <x:f>MAX('詳細設定'!$D$6,0)*(1+'詳細設定'!$D$21)^(B306-1)</x:f>
        <x:v>36.7853517535</x:v>
      </x:c>
      <x:c r="N306" s="185" t="n">
        <x:f>IF(B306&lt;=MAX(MIN('詳細設定'!$D$8,20),0),MAX('詳細設定'!$D$7,0),IF(B306&lt;=MAX(MIN('詳細設定'!$D$10,20),0),MAX('詳細設定'!$D$9,0),MAX('詳細設定'!$D$11,0)))</x:f>
        <x:v>8.3</x:v>
      </x:c>
      <x:c r="O306" s="190" t="n">
        <x:f>K306*M306</x:f>
        <x:v>6951.708045234406</x:v>
      </x:c>
      <x:c r="P306" s="190" t="n">
        <x:f>L306*N306</x:f>
        <x:v>2352.805153071114</x:v>
      </x:c>
      <x:c r="Q306" s="190" t="n">
        <x:f>O306+P306</x:f>
        <x:v>9304.51319830552</x:v>
      </x:c>
      <x:c r="R306" s="196" t="n">
        <x:f>J306-K306-L306</x:f>
        <x:v>0</x:v>
      </x:c>
    </x:row>
    <x:row r="307">
      <x:c r="A307" s="20" t="str">
        <x:v>標準</x:v>
      </x:c>
      <x:c r="B307" s="20" t="n">
        <x:v>6</x:v>
      </x:c>
      <x:c r="C307" s="20" t="n">
        <x:v>3</x:v>
      </x:c>
      <x:c r="D307" s="189" t="n">
        <x:v>1</x:v>
      </x:c>
      <x:c r="E307" s="189" t="n">
        <x:v>1</x:v>
      </x:c>
      <x:c r="F307" s="189" t="n">
        <x:f>MAX(MIN('詳細設定'!$D$15+0,1),0)</x:f>
        <x:v>0.4</x:v>
      </x:c>
      <x:c r="G307" s="563" t="n">
        <x:f>'_計算月次'!$J$7</x:f>
        <x:v>548.3418864753118</x:v>
      </x:c>
      <x:c r="H307" s="563" t="n">
        <x:f>'_計算月次'!$K$7</x:f>
        <x:v>360</x:v>
      </x:c>
      <x:c r="I307" s="563" t="n">
        <x:f>(1-MAX(MIN('詳細設定'!$D$16,0.999999),0))^(B307-1)</x:f>
        <x:v>1</x:v>
      </x:c>
      <x:c r="J307" s="563" t="n">
        <x:f>MAX(G307*D307*I307,0)</x:f>
        <x:v>548.3418864753118</x:v>
      </x:c>
      <x:c r="K307" s="563" t="n">
        <x:f>MAX(MIN(J307*F307,H307),0)</x:f>
        <x:v>219.3367545901247</x:v>
      </x:c>
      <x:c r="L307" s="563" t="n">
        <x:f>MAX(J307-K307,0)</x:f>
        <x:v>329.00513188518704</x:v>
      </x:c>
      <x:c r="M307" s="185" t="n">
        <x:f>MAX('詳細設定'!$D$6,0)*(1+'詳細設定'!$D$21)^(B307-1)</x:f>
        <x:v>36.7853517535</x:v>
      </x:c>
      <x:c r="N307" s="185" t="n">
        <x:f>IF(B307&lt;=MAX(MIN('詳細設定'!$D$8,20),0),MAX('詳細設定'!$D$7,0),IF(B307&lt;=MAX(MIN('詳細設定'!$D$10,20),0),MAX('詳細設定'!$D$9,0),MAX('詳細設定'!$D$11,0)))</x:f>
        <x:v>8.3</x:v>
      </x:c>
      <x:c r="O307" s="190" t="n">
        <x:f>K307*M307</x:f>
        <x:v>8068.379670068844</x:v>
      </x:c>
      <x:c r="P307" s="190" t="n">
        <x:f>L307*N307</x:f>
        <x:v>2730.7425946470526</x:v>
      </x:c>
      <x:c r="Q307" s="190" t="n">
        <x:f>O307+P307</x:f>
        <x:v>10799.122264715896</x:v>
      </x:c>
      <x:c r="R307" s="196" t="n">
        <x:f>J307-K307-L307</x:f>
        <x:v>0</x:v>
      </x:c>
    </x:row>
    <x:row r="308">
      <x:c r="A308" s="20" t="str">
        <x:v>標準</x:v>
      </x:c>
      <x:c r="B308" s="20" t="n">
        <x:v>6</x:v>
      </x:c>
      <x:c r="C308" s="20" t="n">
        <x:v>4</x:v>
      </x:c>
      <x:c r="D308" s="189" t="n">
        <x:v>1</x:v>
      </x:c>
      <x:c r="E308" s="189" t="n">
        <x:v>1</x:v>
      </x:c>
      <x:c r="F308" s="189" t="n">
        <x:f>MAX(MIN('詳細設定'!$D$15+0,1),0)</x:f>
        <x:v>0.4</x:v>
      </x:c>
      <x:c r="G308" s="563" t="n">
        <x:f>'_計算月次'!$J$8</x:f>
        <x:v>548.3944393749554</x:v>
      </x:c>
      <x:c r="H308" s="563" t="n">
        <x:f>'_計算月次'!$K$8</x:f>
        <x:v>315.00000000000006</x:v>
      </x:c>
      <x:c r="I308" s="563" t="n">
        <x:f>(1-MAX(MIN('詳細設定'!$D$16,0.999999),0))^(B308-1)</x:f>
        <x:v>1</x:v>
      </x:c>
      <x:c r="J308" s="563" t="n">
        <x:f>MAX(G308*D308*I308,0)</x:f>
        <x:v>548.3944393749554</x:v>
      </x:c>
      <x:c r="K308" s="563" t="n">
        <x:f>MAX(MIN(J308*F308,H308),0)</x:f>
        <x:v>219.35777574998215</x:v>
      </x:c>
      <x:c r="L308" s="563" t="n">
        <x:f>MAX(J308-K308,0)</x:f>
        <x:v>329.03666362497324</x:v>
      </x:c>
      <x:c r="M308" s="185" t="n">
        <x:f>MAX('詳細設定'!$D$6,0)*(1+'詳細設定'!$D$21)^(B308-1)</x:f>
        <x:v>36.7853517535</x:v>
      </x:c>
      <x:c r="N308" s="185" t="n">
        <x:f>IF(B308&lt;=MAX(MIN('詳細設定'!$D$8,20),0),MAX('詳細設定'!$D$7,0),IF(B308&lt;=MAX(MIN('詳細設定'!$D$10,20),0),MAX('詳細設定'!$D$9,0),MAX('詳細設定'!$D$11,0)))</x:f>
        <x:v>8.3</x:v>
      </x:c>
      <x:c r="O308" s="190" t="n">
        <x:f>K308*M308</x:f>
        <x:v>8069.152940828466</x:v>
      </x:c>
      <x:c r="P308" s="190" t="n">
        <x:f>L308*N308</x:f>
        <x:v>2731.0043080872783</x:v>
      </x:c>
      <x:c r="Q308" s="190" t="n">
        <x:f>O308+P308</x:f>
        <x:v>10800.157248915744</x:v>
      </x:c>
      <x:c r="R308" s="196" t="n">
        <x:f>J308-K308-L308</x:f>
        <x:v>0</x:v>
      </x:c>
    </x:row>
    <x:row r="309">
      <x:c r="A309" s="20" t="str">
        <x:v>標準</x:v>
      </x:c>
      <x:c r="B309" s="20" t="n">
        <x:v>6</x:v>
      </x:c>
      <x:c r="C309" s="20" t="n">
        <x:v>5</x:v>
      </x:c>
      <x:c r="D309" s="189" t="n">
        <x:v>1</x:v>
      </x:c>
      <x:c r="E309" s="189" t="n">
        <x:v>1</x:v>
      </x:c>
      <x:c r="F309" s="189" t="n">
        <x:f>MAX(MIN('詳細設定'!$D$15+0,1),0)</x:f>
        <x:v>0.4</x:v>
      </x:c>
      <x:c r="G309" s="563" t="n">
        <x:f>'_計算月次'!$J$9</x:f>
        <x:v>552.2367574934775</x:v>
      </x:c>
      <x:c r="H309" s="563" t="n">
        <x:f>'_計算月次'!$K$9</x:f>
        <x:v>315.00000000000006</x:v>
      </x:c>
      <x:c r="I309" s="563" t="n">
        <x:f>(1-MAX(MIN('詳細設定'!$D$16,0.999999),0))^(B309-1)</x:f>
        <x:v>1</x:v>
      </x:c>
      <x:c r="J309" s="563" t="n">
        <x:f>MAX(G309*D309*I309,0)</x:f>
        <x:v>552.2367574934775</x:v>
      </x:c>
      <x:c r="K309" s="563" t="n">
        <x:f>MAX(MIN(J309*F309,H309),0)</x:f>
        <x:v>220.89470299739102</x:v>
      </x:c>
      <x:c r="L309" s="563" t="n">
        <x:f>MAX(J309-K309,0)</x:f>
        <x:v>331.34205449608646</x:v>
      </x:c>
      <x:c r="M309" s="185" t="n">
        <x:f>MAX('詳細設定'!$D$6,0)*(1+'詳細設定'!$D$21)^(B309-1)</x:f>
        <x:v>36.7853517535</x:v>
      </x:c>
      <x:c r="N309" s="185" t="n">
        <x:f>IF(B309&lt;=MAX(MIN('詳細設定'!$D$8,20),0),MAX('詳細設定'!$D$7,0),IF(B309&lt;=MAX(MIN('詳細設定'!$D$10,20),0),MAX('詳細設定'!$D$9,0),MAX('詳細設定'!$D$11,0)))</x:f>
        <x:v>8.3</x:v>
      </x:c>
      <x:c r="O309" s="190" t="n">
        <x:f>K309*M309</x:f>
        <x:v>8125.68935024394</x:v>
      </x:c>
      <x:c r="P309" s="190" t="n">
        <x:f>L309*N309</x:f>
        <x:v>2750.139052317518</x:v>
      </x:c>
      <x:c r="Q309" s="190" t="n">
        <x:f>O309+P309</x:f>
        <x:v>10875.828402561458</x:v>
      </x:c>
      <x:c r="R309" s="196" t="n">
        <x:f>J309-K309-L309</x:f>
        <x:v>0</x:v>
      </x:c>
    </x:row>
    <x:row r="310">
      <x:c r="A310" s="20" t="str">
        <x:v>標準</x:v>
      </x:c>
      <x:c r="B310" s="20" t="n">
        <x:v>6</x:v>
      </x:c>
      <x:c r="C310" s="20" t="n">
        <x:v>6</x:v>
      </x:c>
      <x:c r="D310" s="189" t="n">
        <x:v>1</x:v>
      </x:c>
      <x:c r="E310" s="189" t="n">
        <x:v>1</x:v>
      </x:c>
      <x:c r="F310" s="189" t="n">
        <x:f>MAX(MIN('詳細設定'!$D$15+0,1),0)</x:f>
        <x:v>0.4</x:v>
      </x:c>
      <x:c r="G310" s="563" t="n">
        <x:f>'_計算月次'!$J$10</x:f>
        <x:v>448.7994857612148</x:v>
      </x:c>
      <x:c r="H310" s="563" t="n">
        <x:f>'_計算月次'!$K$10</x:f>
        <x:v>360</x:v>
      </x:c>
      <x:c r="I310" s="563" t="n">
        <x:f>(1-MAX(MIN('詳細設定'!$D$16,0.999999),0))^(B310-1)</x:f>
        <x:v>1</x:v>
      </x:c>
      <x:c r="J310" s="563" t="n">
        <x:f>MAX(G310*D310*I310,0)</x:f>
        <x:v>448.7994857612148</x:v>
      </x:c>
      <x:c r="K310" s="563" t="n">
        <x:f>MAX(MIN(J310*F310,H310),0)</x:f>
        <x:v>179.5197943044859</x:v>
      </x:c>
      <x:c r="L310" s="563" t="n">
        <x:f>MAX(J310-K310,0)</x:f>
        <x:v>269.27969145672887</x:v>
      </x:c>
      <x:c r="M310" s="185" t="n">
        <x:f>MAX('詳細設定'!$D$6,0)*(1+'詳細設定'!$D$21)^(B310-1)</x:f>
        <x:v>36.7853517535</x:v>
      </x:c>
      <x:c r="N310" s="185" t="n">
        <x:f>IF(B310&lt;=MAX(MIN('詳細設定'!$D$8,20),0),MAX('詳細設定'!$D$7,0),IF(B310&lt;=MAX(MIN('詳細設定'!$D$10,20),0),MAX('詳細設定'!$D$9,0),MAX('詳細設定'!$D$11,0)))</x:f>
        <x:v>8.3</x:v>
      </x:c>
      <x:c r="O310" s="190" t="n">
        <x:f>K310*M310</x:f>
        <x:v>6603.6987802064805</x:v>
      </x:c>
      <x:c r="P310" s="190" t="n">
        <x:f>L310*N310</x:f>
        <x:v>2235.02143909085</x:v>
      </x:c>
      <x:c r="Q310" s="190" t="n">
        <x:f>O310+P310</x:f>
        <x:v>8838.720219297331</x:v>
      </x:c>
      <x:c r="R310" s="196" t="n">
        <x:f>J310-K310-L310</x:f>
        <x:v>0</x:v>
      </x:c>
    </x:row>
    <x:row r="311">
      <x:c r="A311" s="20" t="str">
        <x:v>標準</x:v>
      </x:c>
      <x:c r="B311" s="20" t="n">
        <x:v>6</x:v>
      </x:c>
      <x:c r="C311" s="20" t="n">
        <x:v>7</x:v>
      </x:c>
      <x:c r="D311" s="189" t="n">
        <x:v>1</x:v>
      </x:c>
      <x:c r="E311" s="189" t="n">
        <x:v>1</x:v>
      </x:c>
      <x:c r="F311" s="189" t="n">
        <x:f>MAX(MIN('詳細設定'!$D$15+0,1),0)</x:f>
        <x:v>0.4</x:v>
      </x:c>
      <x:c r="G311" s="563" t="n">
        <x:f>'_計算月次'!$J$11</x:f>
        <x:v>476.0181638067866</x:v>
      </x:c>
      <x:c r="H311" s="563" t="n">
        <x:f>'_計算月次'!$K$11</x:f>
        <x:v>405</x:v>
      </x:c>
      <x:c r="I311" s="563" t="n">
        <x:f>(1-MAX(MIN('詳細設定'!$D$16,0.999999),0))^(B311-1)</x:f>
        <x:v>1</x:v>
      </x:c>
      <x:c r="J311" s="563" t="n">
        <x:f>MAX(G311*D311*I311,0)</x:f>
        <x:v>476.0181638067866</x:v>
      </x:c>
      <x:c r="K311" s="563" t="n">
        <x:f>MAX(MIN(J311*F311,H311),0)</x:f>
        <x:v>190.40726552271465</x:v>
      </x:c>
      <x:c r="L311" s="563" t="n">
        <x:f>MAX(J311-K311,0)</x:f>
        <x:v>285.61089828407194</x:v>
      </x:c>
      <x:c r="M311" s="185" t="n">
        <x:f>MAX('詳細設定'!$D$6,0)*(1+'詳細設定'!$D$21)^(B311-1)</x:f>
        <x:v>36.7853517535</x:v>
      </x:c>
      <x:c r="N311" s="185" t="n">
        <x:f>IF(B311&lt;=MAX(MIN('詳細設定'!$D$8,20),0),MAX('詳細設定'!$D$7,0),IF(B311&lt;=MAX(MIN('詳細設定'!$D$10,20),0),MAX('詳細設定'!$D$9,0),MAX('詳細設定'!$D$11,0)))</x:f>
        <x:v>8.3</x:v>
      </x:c>
      <x:c r="O311" s="190" t="n">
        <x:f>K311*M311</x:f>
        <x:v>7004.198238675132</x:v>
      </x:c>
      <x:c r="P311" s="190" t="n">
        <x:f>L311*N311</x:f>
        <x:v>2370.5704557577974</x:v>
      </x:c>
      <x:c r="Q311" s="190" t="n">
        <x:f>O311+P311</x:f>
        <x:v>9374.768694432929</x:v>
      </x:c>
      <x:c r="R311" s="196" t="n">
        <x:f>J311-K311-L311</x:f>
        <x:v>0</x:v>
      </x:c>
    </x:row>
    <x:row r="312">
      <x:c r="A312" s="20" t="str">
        <x:v>標準</x:v>
      </x:c>
      <x:c r="B312" s="20" t="n">
        <x:v>6</x:v>
      </x:c>
      <x:c r="C312" s="20" t="n">
        <x:v>8</x:v>
      </x:c>
      <x:c r="D312" s="189" t="n">
        <x:v>1</x:v>
      </x:c>
      <x:c r="E312" s="189" t="n">
        <x:v>1</x:v>
      </x:c>
      <x:c r="F312" s="189" t="n">
        <x:f>MAX(MIN('詳細設定'!$D$15+0,1),0)</x:f>
        <x:v>0.4</x:v>
      </x:c>
      <x:c r="G312" s="563" t="n">
        <x:f>'_計算月次'!$J$12</x:f>
        <x:v>528.6548067323699</x:v>
      </x:c>
      <x:c r="H312" s="563" t="n">
        <x:f>'_計算月次'!$K$12</x:f>
        <x:v>450</x:v>
      </x:c>
      <x:c r="I312" s="563" t="n">
        <x:f>(1-MAX(MIN('詳細設定'!$D$16,0.999999),0))^(B312-1)</x:f>
        <x:v>1</x:v>
      </x:c>
      <x:c r="J312" s="563" t="n">
        <x:f>MAX(G312*D312*I312,0)</x:f>
        <x:v>528.6548067323699</x:v>
      </x:c>
      <x:c r="K312" s="563" t="n">
        <x:f>MAX(MIN(J312*F312,H312),0)</x:f>
        <x:v>211.46192269294798</x:v>
      </x:c>
      <x:c r="L312" s="563" t="n">
        <x:f>MAX(J312-K312,0)</x:f>
        <x:v>317.192884039422</x:v>
      </x:c>
      <x:c r="M312" s="185" t="n">
        <x:f>MAX('詳細設定'!$D$6,0)*(1+'詳細設定'!$D$21)^(B312-1)</x:f>
        <x:v>36.7853517535</x:v>
      </x:c>
      <x:c r="N312" s="185" t="n">
        <x:f>IF(B312&lt;=MAX(MIN('詳細設定'!$D$8,20),0),MAX('詳細設定'!$D$7,0),IF(B312&lt;=MAX(MIN('詳細設定'!$D$10,20),0),MAX('詳細設定'!$D$9,0),MAX('詳細設定'!$D$11,0)))</x:f>
        <x:v>8.3</x:v>
      </x:c>
      <x:c r="O312" s="190" t="n">
        <x:f>K312*M312</x:f>
        <x:v>7778.701208731516</x:v>
      </x:c>
      <x:c r="P312" s="190" t="n">
        <x:f>L312*N312</x:f>
        <x:v>2632.7009375272028</x:v>
      </x:c>
      <x:c r="Q312" s="190" t="n">
        <x:f>O312+P312</x:f>
        <x:v>10411.402146258719</x:v>
      </x:c>
      <x:c r="R312" s="196" t="n">
        <x:f>J312-K312-L312</x:f>
        <x:v>0</x:v>
      </x:c>
    </x:row>
    <x:row r="313">
      <x:c r="A313" s="20" t="str">
        <x:v>標準</x:v>
      </x:c>
      <x:c r="B313" s="20" t="n">
        <x:v>6</x:v>
      </x:c>
      <x:c r="C313" s="20" t="n">
        <x:v>9</x:v>
      </x:c>
      <x:c r="D313" s="189" t="n">
        <x:v>1</x:v>
      </x:c>
      <x:c r="E313" s="189" t="n">
        <x:v>1</x:v>
      </x:c>
      <x:c r="F313" s="189" t="n">
        <x:f>MAX(MIN('詳細設定'!$D$15+0,1),0)</x:f>
        <x:v>0.4</x:v>
      </x:c>
      <x:c r="G313" s="563" t="n">
        <x:f>'_計算月次'!$J$13</x:f>
        <x:v>436.37734765103465</x:v>
      </x:c>
      <x:c r="H313" s="563" t="n">
        <x:f>'_計算月次'!$K$13</x:f>
        <x:v>360</x:v>
      </x:c>
      <x:c r="I313" s="563" t="n">
        <x:f>(1-MAX(MIN('詳細設定'!$D$16,0.999999),0))^(B313-1)</x:f>
        <x:v>1</x:v>
      </x:c>
      <x:c r="J313" s="563" t="n">
        <x:f>MAX(G313*D313*I313,0)</x:f>
        <x:v>436.37734765103465</x:v>
      </x:c>
      <x:c r="K313" s="563" t="n">
        <x:f>MAX(MIN(J313*F313,H313),0)</x:f>
        <x:v>174.55093906041387</x:v>
      </x:c>
      <x:c r="L313" s="563" t="n">
        <x:f>MAX(J313-K313,0)</x:f>
        <x:v>261.82640859062076</x:v>
      </x:c>
      <x:c r="M313" s="185" t="n">
        <x:f>MAX('詳細設定'!$D$6,0)*(1+'詳細設定'!$D$21)^(B313-1)</x:f>
        <x:v>36.7853517535</x:v>
      </x:c>
      <x:c r="N313" s="185" t="n">
        <x:f>IF(B313&lt;=MAX(MIN('詳細設定'!$D$8,20),0),MAX('詳細設定'!$D$7,0),IF(B313&lt;=MAX(MIN('詳細設定'!$D$10,20),0),MAX('詳細設定'!$D$9,0),MAX('詳細設定'!$D$11,0)))</x:f>
        <x:v>8.3</x:v>
      </x:c>
      <x:c r="O313" s="190" t="n">
        <x:f>K313*M313</x:f>
        <x:v>6420.917692241067</x:v>
      </x:c>
      <x:c r="P313" s="190" t="n">
        <x:f>L313*N313</x:f>
        <x:v>2173.1591913021525</x:v>
      </x:c>
      <x:c r="Q313" s="190" t="n">
        <x:f>O313+P313</x:f>
        <x:v>8594.076883543219</x:v>
      </x:c>
      <x:c r="R313" s="196" t="n">
        <x:f>J313-K313-L313</x:f>
        <x:v>0</x:v>
      </x:c>
    </x:row>
    <x:row r="314">
      <x:c r="A314" s="20" t="str">
        <x:v>標準</x:v>
      </x:c>
      <x:c r="B314" s="20" t="n">
        <x:v>6</x:v>
      </x:c>
      <x:c r="C314" s="20" t="n">
        <x:v>10</x:v>
      </x:c>
      <x:c r="D314" s="189" t="n">
        <x:v>1</x:v>
      </x:c>
      <x:c r="E314" s="189" t="n">
        <x:v>1</x:v>
      </x:c>
      <x:c r="F314" s="189" t="n">
        <x:f>MAX(MIN('詳細設定'!$D$15+0,1),0)</x:f>
        <x:v>0.4</x:v>
      </x:c>
      <x:c r="G314" s="563" t="n">
        <x:f>'_計算月次'!$J$14</x:f>
        <x:v>408.8269849869007</x:v>
      </x:c>
      <x:c r="H314" s="563" t="n">
        <x:f>'_計算月次'!$K$14</x:f>
        <x:v>315.00000000000006</x:v>
      </x:c>
      <x:c r="I314" s="563" t="n">
        <x:f>(1-MAX(MIN('詳細設定'!$D$16,0.999999),0))^(B314-1)</x:f>
        <x:v>1</x:v>
      </x:c>
      <x:c r="J314" s="563" t="n">
        <x:f>MAX(G314*D314*I314,0)</x:f>
        <x:v>408.8269849869007</x:v>
      </x:c>
      <x:c r="K314" s="563" t="n">
        <x:f>MAX(MIN(J314*F314,H314),0)</x:f>
        <x:v>163.5307939947603</x:v>
      </x:c>
      <x:c r="L314" s="563" t="n">
        <x:f>MAX(J314-K314,0)</x:f>
        <x:v>245.2961909921404</x:v>
      </x:c>
      <x:c r="M314" s="185" t="n">
        <x:f>MAX('詳細設定'!$D$6,0)*(1+'詳細設定'!$D$21)^(B314-1)</x:f>
        <x:v>36.7853517535</x:v>
      </x:c>
      <x:c r="N314" s="185" t="n">
        <x:f>IF(B314&lt;=MAX(MIN('詳細設定'!$D$8,20),0),MAX('詳細設定'!$D$7,0),IF(B314&lt;=MAX(MIN('詳細設定'!$D$10,20),0),MAX('詳細設定'!$D$9,0),MAX('詳細設定'!$D$11,0)))</x:f>
        <x:v>8.3</x:v>
      </x:c>
      <x:c r="O314" s="190" t="n">
        <x:f>K314*M314</x:f>
        <x:v>6015.537779626404</x:v>
      </x:c>
      <x:c r="P314" s="190" t="n">
        <x:f>L314*N314</x:f>
        <x:v>2035.9583852347655</x:v>
      </x:c>
      <x:c r="Q314" s="190" t="n">
        <x:f>O314+P314</x:f>
        <x:v>8051.49616486117</x:v>
      </x:c>
      <x:c r="R314" s="196" t="n">
        <x:f>J314-K314-L314</x:f>
        <x:v>0</x:v>
      </x:c>
    </x:row>
    <x:row r="315">
      <x:c r="A315" s="20" t="str">
        <x:v>標準</x:v>
      </x:c>
      <x:c r="B315" s="20" t="n">
        <x:v>6</x:v>
      </x:c>
      <x:c r="C315" s="20" t="n">
        <x:v>11</x:v>
      </x:c>
      <x:c r="D315" s="189" t="n">
        <x:v>1</x:v>
      </x:c>
      <x:c r="E315" s="189" t="n">
        <x:v>1</x:v>
      </x:c>
      <x:c r="F315" s="189" t="n">
        <x:f>MAX(MIN('詳細設定'!$D$15+0,1),0)</x:f>
        <x:v>0.4</x:v>
      </x:c>
      <x:c r="G315" s="563" t="n">
        <x:f>'_計算月次'!$J$15</x:f>
        <x:v>398.45169764745054</x:v>
      </x:c>
      <x:c r="H315" s="563" t="n">
        <x:f>'_計算月次'!$K$15</x:f>
        <x:v>360</x:v>
      </x:c>
      <x:c r="I315" s="563" t="n">
        <x:f>(1-MAX(MIN('詳細設定'!$D$16,0.999999),0))^(B315-1)</x:f>
        <x:v>1</x:v>
      </x:c>
      <x:c r="J315" s="563" t="n">
        <x:f>MAX(G315*D315*I315,0)</x:f>
        <x:v>398.45169764745054</x:v>
      </x:c>
      <x:c r="K315" s="563" t="n">
        <x:f>MAX(MIN(J315*F315,H315),0)</x:f>
        <x:v>159.38067905898023</x:v>
      </x:c>
      <x:c r="L315" s="563" t="n">
        <x:f>MAX(J315-K315,0)</x:f>
        <x:v>239.0710185884703</x:v>
      </x:c>
      <x:c r="M315" s="185" t="n">
        <x:f>MAX('詳細設定'!$D$6,0)*(1+'詳細設定'!$D$21)^(B315-1)</x:f>
        <x:v>36.7853517535</x:v>
      </x:c>
      <x:c r="N315" s="185" t="n">
        <x:f>IF(B315&lt;=MAX(MIN('詳細設定'!$D$8,20),0),MAX('詳細設定'!$D$7,0),IF(B315&lt;=MAX(MIN('詳細設定'!$D$10,20),0),MAX('詳細設定'!$D$9,0),MAX('詳細設定'!$D$11,0)))</x:f>
        <x:v>8.3</x:v>
      </x:c>
      <x:c r="O315" s="190" t="n">
        <x:f>K315*M315</x:f>
        <x:v>5862.8743418962795</x:v>
      </x:c>
      <x:c r="P315" s="190" t="n">
        <x:f>L315*N315</x:f>
        <x:v>1984.2894542843037</x:v>
      </x:c>
      <x:c r="Q315" s="190" t="n">
        <x:f>O315+P315</x:f>
        <x:v>7847.163796180583</x:v>
      </x:c>
      <x:c r="R315" s="196" t="n">
        <x:f>J315-K315-L315</x:f>
        <x:v>0</x:v>
      </x:c>
    </x:row>
    <x:row r="316">
      <x:c r="A316" s="20" t="str">
        <x:v>標準</x:v>
      </x:c>
      <x:c r="B316" s="20" t="n">
        <x:v>6</x:v>
      </x:c>
      <x:c r="C316" s="20" t="n">
        <x:v>12</x:v>
      </x:c>
      <x:c r="D316" s="189" t="n">
        <x:v>1</x:v>
      </x:c>
      <x:c r="E316" s="189" t="n">
        <x:v>1</x:v>
      </x:c>
      <x:c r="F316" s="189" t="n">
        <x:f>MAX(MIN('詳細設定'!$D$15+0,1),0)</x:f>
        <x:v>0.4</x:v>
      </x:c>
      <x:c r="G316" s="563" t="n">
        <x:f>'_計算月次'!$J$16</x:f>
        <x:v>443.97248688000184</x:v>
      </x:c>
      <x:c r="H316" s="563" t="n">
        <x:f>'_計算月次'!$K$16</x:f>
        <x:v>405</x:v>
      </x:c>
      <x:c r="I316" s="563" t="n">
        <x:f>(1-MAX(MIN('詳細設定'!$D$16,0.999999),0))^(B316-1)</x:f>
        <x:v>1</x:v>
      </x:c>
      <x:c r="J316" s="563" t="n">
        <x:f>MAX(G316*D316*I316,0)</x:f>
        <x:v>443.97248688000184</x:v>
      </x:c>
      <x:c r="K316" s="563" t="n">
        <x:f>MAX(MIN(J316*F316,H316),0)</x:f>
        <x:v>177.58899475200076</x:v>
      </x:c>
      <x:c r="L316" s="563" t="n">
        <x:f>MAX(J316-K316,0)</x:f>
        <x:v>266.3834921280011</x:v>
      </x:c>
      <x:c r="M316" s="185" t="n">
        <x:f>MAX('詳細設定'!$D$6,0)*(1+'詳細設定'!$D$21)^(B316-1)</x:f>
        <x:v>36.7853517535</x:v>
      </x:c>
      <x:c r="N316" s="185" t="n">
        <x:f>IF(B316&lt;=MAX(MIN('詳細設定'!$D$8,20),0),MAX('詳細設定'!$D$7,0),IF(B316&lt;=MAX(MIN('詳細設定'!$D$10,20),0),MAX('詳細設定'!$D$9,0),MAX('詳細設定'!$D$11,0)))</x:f>
        <x:v>8.3</x:v>
      </x:c>
      <x:c r="O316" s="190" t="n">
        <x:f>K316*M316</x:f>
        <x:v>6532.673639502814</x:v>
      </x:c>
      <x:c r="P316" s="190" t="n">
        <x:f>L316*N316</x:f>
        <x:v>2210.9829846624093</x:v>
      </x:c>
      <x:c r="Q316" s="190" t="n">
        <x:f>O316+P316</x:f>
        <x:v>8743.656624165224</x:v>
      </x:c>
      <x:c r="R316" s="196" t="n">
        <x:f>J316-K316-L316</x:f>
        <x:v>0</x:v>
      </x:c>
    </x:row>
    <x:row r="317">
      <x:c r="A317" s="20" t="str">
        <x:v>標準</x:v>
      </x:c>
      <x:c r="B317" s="20" t="n">
        <x:v>7</x:v>
      </x:c>
      <x:c r="C317" s="20" t="n">
        <x:v>1</x:v>
      </x:c>
      <x:c r="D317" s="189" t="n">
        <x:v>1</x:v>
      </x:c>
      <x:c r="E317" s="189" t="n">
        <x:v>1</x:v>
      </x:c>
      <x:c r="F317" s="189" t="n">
        <x:f>MAX(MIN('詳細設定'!$D$15+0,1),0)</x:f>
        <x:v>0.4</x:v>
      </x:c>
      <x:c r="G317" s="563" t="n">
        <x:f>'_計算月次'!$J$5</x:f>
        <x:v>502.4147595742038</x:v>
      </x:c>
      <x:c r="H317" s="563" t="n">
        <x:f>'_計算月次'!$K$5</x:f>
        <x:v>450</x:v>
      </x:c>
      <x:c r="I317" s="563" t="n">
        <x:f>(1-MAX(MIN('詳細設定'!$D$16,0.999999),0))^(B317-1)</x:f>
        <x:v>1</x:v>
      </x:c>
      <x:c r="J317" s="563" t="n">
        <x:f>MAX(G317*D317*I317,0)</x:f>
        <x:v>502.4147595742038</x:v>
      </x:c>
      <x:c r="K317" s="563" t="n">
        <x:f>MAX(MIN(J317*F317,H317),0)</x:f>
        <x:v>200.96590382968154</x:v>
      </x:c>
      <x:c r="L317" s="563" t="n">
        <x:f>MAX(J317-K317,0)</x:f>
        <x:v>301.44885574452223</x:v>
      </x:c>
      <x:c r="M317" s="185" t="n">
        <x:f>MAX('詳細設定'!$D$6,0)*(1+'詳細設定'!$D$21)^(B317-1)</x:f>
        <x:v>37.153205271035006</x:v>
      </x:c>
      <x:c r="N317" s="185" t="n">
        <x:f>IF(B317&lt;=MAX(MIN('詳細設定'!$D$8,20),0),MAX('詳細設定'!$D$7,0),IF(B317&lt;=MAX(MIN('詳細設定'!$D$10,20),0),MAX('詳細設定'!$D$9,0),MAX('詳細設定'!$D$11,0)))</x:f>
        <x:v>8.3</x:v>
      </x:c>
      <x:c r="O317" s="190" t="n">
        <x:f>K317*M317</x:f>
        <x:v>7466.527477463238</x:v>
      </x:c>
      <x:c r="P317" s="190" t="n">
        <x:f>L317*N317</x:f>
        <x:v>2502.025502679535</x:v>
      </x:c>
      <x:c r="Q317" s="190" t="n">
        <x:f>O317+P317</x:f>
        <x:v>9968.552980142773</x:v>
      </x:c>
      <x:c r="R317" s="196" t="n">
        <x:f>J317-K317-L317</x:f>
        <x:v>0</x:v>
      </x:c>
    </x:row>
    <x:row r="318">
      <x:c r="A318" s="20" t="str">
        <x:v>標準</x:v>
      </x:c>
      <x:c r="B318" s="20" t="n">
        <x:v>7</x:v>
      </x:c>
      <x:c r="C318" s="20" t="n">
        <x:v>2</x:v>
      </x:c>
      <x:c r="D318" s="189" t="n">
        <x:v>1</x:v>
      </x:c>
      <x:c r="E318" s="189" t="n">
        <x:v>1</x:v>
      </x:c>
      <x:c r="F318" s="189" t="n">
        <x:f>MAX(MIN('詳細設定'!$D$15+0,1),0)</x:f>
        <x:v>0.4</x:v>
      </x:c>
      <x:c r="G318" s="563" t="n">
        <x:f>'_計算月次'!$J$6</x:f>
        <x:v>472.4508339500229</x:v>
      </x:c>
      <x:c r="H318" s="563" t="n">
        <x:f>'_計算月次'!$K$6</x:f>
        <x:v>405</x:v>
      </x:c>
      <x:c r="I318" s="563" t="n">
        <x:f>(1-MAX(MIN('詳細設定'!$D$16,0.999999),0))^(B318-1)</x:f>
        <x:v>1</x:v>
      </x:c>
      <x:c r="J318" s="563" t="n">
        <x:f>MAX(G318*D318*I318,0)</x:f>
        <x:v>472.4508339500229</x:v>
      </x:c>
      <x:c r="K318" s="563" t="n">
        <x:f>MAX(MIN(J318*F318,H318),0)</x:f>
        <x:v>188.9803335800092</x:v>
      </x:c>
      <x:c r="L318" s="563" t="n">
        <x:f>MAX(J318-K318,0)</x:f>
        <x:v>283.4705003700137</x:v>
      </x:c>
      <x:c r="M318" s="185" t="n">
        <x:f>MAX('詳細設定'!$D$6,0)*(1+'詳細設定'!$D$21)^(B318-1)</x:f>
        <x:v>37.153205271035006</x:v>
      </x:c>
      <x:c r="N318" s="185" t="n">
        <x:f>IF(B318&lt;=MAX(MIN('詳細設定'!$D$8,20),0),MAX('詳細設定'!$D$7,0),IF(B318&lt;=MAX(MIN('詳細設定'!$D$10,20),0),MAX('詳細設定'!$D$9,0),MAX('詳細設定'!$D$11,0)))</x:f>
        <x:v>8.3</x:v>
      </x:c>
      <x:c r="O318" s="190" t="n">
        <x:f>K318*M318</x:f>
        <x:v>7021.225125686751</x:v>
      </x:c>
      <x:c r="P318" s="190" t="n">
        <x:f>L318*N318</x:f>
        <x:v>2352.805153071114</x:v>
      </x:c>
      <x:c r="Q318" s="190" t="n">
        <x:f>O318+P318</x:f>
        <x:v>9374.030278757866</x:v>
      </x:c>
      <x:c r="R318" s="196" t="n">
        <x:f>J318-K318-L318</x:f>
        <x:v>0</x:v>
      </x:c>
    </x:row>
    <x:row r="319">
      <x:c r="A319" s="20" t="str">
        <x:v>標準</x:v>
      </x:c>
      <x:c r="B319" s="20" t="n">
        <x:v>7</x:v>
      </x:c>
      <x:c r="C319" s="20" t="n">
        <x:v>3</x:v>
      </x:c>
      <x:c r="D319" s="189" t="n">
        <x:v>1</x:v>
      </x:c>
      <x:c r="E319" s="189" t="n">
        <x:v>1</x:v>
      </x:c>
      <x:c r="F319" s="189" t="n">
        <x:f>MAX(MIN('詳細設定'!$D$15+0,1),0)</x:f>
        <x:v>0.4</x:v>
      </x:c>
      <x:c r="G319" s="563" t="n">
        <x:f>'_計算月次'!$J$7</x:f>
        <x:v>548.3418864753118</x:v>
      </x:c>
      <x:c r="H319" s="563" t="n">
        <x:f>'_計算月次'!$K$7</x:f>
        <x:v>360</x:v>
      </x:c>
      <x:c r="I319" s="563" t="n">
        <x:f>(1-MAX(MIN('詳細設定'!$D$16,0.999999),0))^(B319-1)</x:f>
        <x:v>1</x:v>
      </x:c>
      <x:c r="J319" s="563" t="n">
        <x:f>MAX(G319*D319*I319,0)</x:f>
        <x:v>548.3418864753118</x:v>
      </x:c>
      <x:c r="K319" s="563" t="n">
        <x:f>MAX(MIN(J319*F319,H319),0)</x:f>
        <x:v>219.3367545901247</x:v>
      </x:c>
      <x:c r="L319" s="563" t="n">
        <x:f>MAX(J319-K319,0)</x:f>
        <x:v>329.00513188518704</x:v>
      </x:c>
      <x:c r="M319" s="185" t="n">
        <x:f>MAX('詳細設定'!$D$6,0)*(1+'詳細設定'!$D$21)^(B319-1)</x:f>
        <x:v>37.153205271035006</x:v>
      </x:c>
      <x:c r="N319" s="185" t="n">
        <x:f>IF(B319&lt;=MAX(MIN('詳細設定'!$D$8,20),0),MAX('詳細設定'!$D$7,0),IF(B319&lt;=MAX(MIN('詳細設定'!$D$10,20),0),MAX('詳細設定'!$D$9,0),MAX('詳細設定'!$D$11,0)))</x:f>
        <x:v>8.3</x:v>
      </x:c>
      <x:c r="O319" s="190" t="n">
        <x:f>K319*M319</x:f>
        <x:v>8149.063466769533</x:v>
      </x:c>
      <x:c r="P319" s="190" t="n">
        <x:f>L319*N319</x:f>
        <x:v>2730.7425946470526</x:v>
      </x:c>
      <x:c r="Q319" s="190" t="n">
        <x:f>O319+P319</x:f>
        <x:v>10879.806061416586</x:v>
      </x:c>
      <x:c r="R319" s="196" t="n">
        <x:f>J319-K319-L319</x:f>
        <x:v>0</x:v>
      </x:c>
    </x:row>
    <x:row r="320">
      <x:c r="A320" s="20" t="str">
        <x:v>標準</x:v>
      </x:c>
      <x:c r="B320" s="20" t="n">
        <x:v>7</x:v>
      </x:c>
      <x:c r="C320" s="20" t="n">
        <x:v>4</x:v>
      </x:c>
      <x:c r="D320" s="189" t="n">
        <x:v>1</x:v>
      </x:c>
      <x:c r="E320" s="189" t="n">
        <x:v>1</x:v>
      </x:c>
      <x:c r="F320" s="189" t="n">
        <x:f>MAX(MIN('詳細設定'!$D$15+0,1),0)</x:f>
        <x:v>0.4</x:v>
      </x:c>
      <x:c r="G320" s="563" t="n">
        <x:f>'_計算月次'!$J$8</x:f>
        <x:v>548.3944393749554</x:v>
      </x:c>
      <x:c r="H320" s="563" t="n">
        <x:f>'_計算月次'!$K$8</x:f>
        <x:v>315.00000000000006</x:v>
      </x:c>
      <x:c r="I320" s="563" t="n">
        <x:f>(1-MAX(MIN('詳細設定'!$D$16,0.999999),0))^(B320-1)</x:f>
        <x:v>1</x:v>
      </x:c>
      <x:c r="J320" s="563" t="n">
        <x:f>MAX(G320*D320*I320,0)</x:f>
        <x:v>548.3944393749554</x:v>
      </x:c>
      <x:c r="K320" s="563" t="n">
        <x:f>MAX(MIN(J320*F320,H320),0)</x:f>
        <x:v>219.35777574998215</x:v>
      </x:c>
      <x:c r="L320" s="563" t="n">
        <x:f>MAX(J320-K320,0)</x:f>
        <x:v>329.03666362497324</x:v>
      </x:c>
      <x:c r="M320" s="185" t="n">
        <x:f>MAX('詳細設定'!$D$6,0)*(1+'詳細設定'!$D$21)^(B320-1)</x:f>
        <x:v>37.153205271035006</x:v>
      </x:c>
      <x:c r="N320" s="185" t="n">
        <x:f>IF(B320&lt;=MAX(MIN('詳細設定'!$D$8,20),0),MAX('詳細設定'!$D$7,0),IF(B320&lt;=MAX(MIN('詳細設定'!$D$10,20),0),MAX('詳細設定'!$D$9,0),MAX('詳細設定'!$D$11,0)))</x:f>
        <x:v>8.3</x:v>
      </x:c>
      <x:c r="O320" s="190" t="n">
        <x:f>K320*M320</x:f>
        <x:v>8149.8444702367515</x:v>
      </x:c>
      <x:c r="P320" s="190" t="n">
        <x:f>L320*N320</x:f>
        <x:v>2731.0043080872783</x:v>
      </x:c>
      <x:c r="Q320" s="190" t="n">
        <x:f>O320+P320</x:f>
        <x:v>10880.84877832403</x:v>
      </x:c>
      <x:c r="R320" s="196" t="n">
        <x:f>J320-K320-L320</x:f>
        <x:v>0</x:v>
      </x:c>
    </x:row>
    <x:row r="321">
      <x:c r="A321" s="20" t="str">
        <x:v>標準</x:v>
      </x:c>
      <x:c r="B321" s="20" t="n">
        <x:v>7</x:v>
      </x:c>
      <x:c r="C321" s="20" t="n">
        <x:v>5</x:v>
      </x:c>
      <x:c r="D321" s="189" t="n">
        <x:v>1</x:v>
      </x:c>
      <x:c r="E321" s="189" t="n">
        <x:v>1</x:v>
      </x:c>
      <x:c r="F321" s="189" t="n">
        <x:f>MAX(MIN('詳細設定'!$D$15+0,1),0)</x:f>
        <x:v>0.4</x:v>
      </x:c>
      <x:c r="G321" s="563" t="n">
        <x:f>'_計算月次'!$J$9</x:f>
        <x:v>552.2367574934775</x:v>
      </x:c>
      <x:c r="H321" s="563" t="n">
        <x:f>'_計算月次'!$K$9</x:f>
        <x:v>315.00000000000006</x:v>
      </x:c>
      <x:c r="I321" s="563" t="n">
        <x:f>(1-MAX(MIN('詳細設定'!$D$16,0.999999),0))^(B321-1)</x:f>
        <x:v>1</x:v>
      </x:c>
      <x:c r="J321" s="563" t="n">
        <x:f>MAX(G321*D321*I321,0)</x:f>
        <x:v>552.2367574934775</x:v>
      </x:c>
      <x:c r="K321" s="563" t="n">
        <x:f>MAX(MIN(J321*F321,H321),0)</x:f>
        <x:v>220.89470299739102</x:v>
      </x:c>
      <x:c r="L321" s="563" t="n">
        <x:f>MAX(J321-K321,0)</x:f>
        <x:v>331.34205449608646</x:v>
      </x:c>
      <x:c r="M321" s="185" t="n">
        <x:f>MAX('詳細設定'!$D$6,0)*(1+'詳細設定'!$D$21)^(B321-1)</x:f>
        <x:v>37.153205271035006</x:v>
      </x:c>
      <x:c r="N321" s="185" t="n">
        <x:f>IF(B321&lt;=MAX(MIN('詳細設定'!$D$8,20),0),MAX('詳細設定'!$D$7,0),IF(B321&lt;=MAX(MIN('詳細設定'!$D$10,20),0),MAX('詳細設定'!$D$9,0),MAX('詳細設定'!$D$11,0)))</x:f>
        <x:v>8.3</x:v>
      </x:c>
      <x:c r="O321" s="190" t="n">
        <x:f>K321*M321</x:f>
        <x:v>8206.94624374638</x:v>
      </x:c>
      <x:c r="P321" s="190" t="n">
        <x:f>L321*N321</x:f>
        <x:v>2750.139052317518</x:v>
      </x:c>
      <x:c r="Q321" s="190" t="n">
        <x:f>O321+P321</x:f>
        <x:v>10957.085296063899</x:v>
      </x:c>
      <x:c r="R321" s="196" t="n">
        <x:f>J321-K321-L321</x:f>
        <x:v>0</x:v>
      </x:c>
    </x:row>
    <x:row r="322">
      <x:c r="A322" s="20" t="str">
        <x:v>標準</x:v>
      </x:c>
      <x:c r="B322" s="20" t="n">
        <x:v>7</x:v>
      </x:c>
      <x:c r="C322" s="20" t="n">
        <x:v>6</x:v>
      </x:c>
      <x:c r="D322" s="189" t="n">
        <x:v>1</x:v>
      </x:c>
      <x:c r="E322" s="189" t="n">
        <x:v>1</x:v>
      </x:c>
      <x:c r="F322" s="189" t="n">
        <x:f>MAX(MIN('詳細設定'!$D$15+0,1),0)</x:f>
        <x:v>0.4</x:v>
      </x:c>
      <x:c r="G322" s="563" t="n">
        <x:f>'_計算月次'!$J$10</x:f>
        <x:v>448.7994857612148</x:v>
      </x:c>
      <x:c r="H322" s="563" t="n">
        <x:f>'_計算月次'!$K$10</x:f>
        <x:v>360</x:v>
      </x:c>
      <x:c r="I322" s="563" t="n">
        <x:f>(1-MAX(MIN('詳細設定'!$D$16,0.999999),0))^(B322-1)</x:f>
        <x:v>1</x:v>
      </x:c>
      <x:c r="J322" s="563" t="n">
        <x:f>MAX(G322*D322*I322,0)</x:f>
        <x:v>448.7994857612148</x:v>
      </x:c>
      <x:c r="K322" s="563" t="n">
        <x:f>MAX(MIN(J322*F322,H322),0)</x:f>
        <x:v>179.5197943044859</x:v>
      </x:c>
      <x:c r="L322" s="563" t="n">
        <x:f>MAX(J322-K322,0)</x:f>
        <x:v>269.27969145672887</x:v>
      </x:c>
      <x:c r="M322" s="185" t="n">
        <x:f>MAX('詳細設定'!$D$6,0)*(1+'詳細設定'!$D$21)^(B322-1)</x:f>
        <x:v>37.153205271035006</x:v>
      </x:c>
      <x:c r="N322" s="185" t="n">
        <x:f>IF(B322&lt;=MAX(MIN('詳細設定'!$D$8,20),0),MAX('詳細設定'!$D$7,0),IF(B322&lt;=MAX(MIN('詳細設定'!$D$10,20),0),MAX('詳細設定'!$D$9,0),MAX('詳細設定'!$D$11,0)))</x:f>
        <x:v>8.3</x:v>
      </x:c>
      <x:c r="O322" s="190" t="n">
        <x:f>K322*M322</x:f>
        <x:v>6669.735768008546</x:v>
      </x:c>
      <x:c r="P322" s="190" t="n">
        <x:f>L322*N322</x:f>
        <x:v>2235.02143909085</x:v>
      </x:c>
      <x:c r="Q322" s="190" t="n">
        <x:f>O322+P322</x:f>
        <x:v>8904.757207099396</x:v>
      </x:c>
      <x:c r="R322" s="196" t="n">
        <x:f>J322-K322-L322</x:f>
        <x:v>0</x:v>
      </x:c>
    </x:row>
    <x:row r="323">
      <x:c r="A323" s="20" t="str">
        <x:v>標準</x:v>
      </x:c>
      <x:c r="B323" s="20" t="n">
        <x:v>7</x:v>
      </x:c>
      <x:c r="C323" s="20" t="n">
        <x:v>7</x:v>
      </x:c>
      <x:c r="D323" s="189" t="n">
        <x:v>1</x:v>
      </x:c>
      <x:c r="E323" s="189" t="n">
        <x:v>1</x:v>
      </x:c>
      <x:c r="F323" s="189" t="n">
        <x:f>MAX(MIN('詳細設定'!$D$15+0,1),0)</x:f>
        <x:v>0.4</x:v>
      </x:c>
      <x:c r="G323" s="563" t="n">
        <x:f>'_計算月次'!$J$11</x:f>
        <x:v>476.0181638067866</x:v>
      </x:c>
      <x:c r="H323" s="563" t="n">
        <x:f>'_計算月次'!$K$11</x:f>
        <x:v>405</x:v>
      </x:c>
      <x:c r="I323" s="563" t="n">
        <x:f>(1-MAX(MIN('詳細設定'!$D$16,0.999999),0))^(B323-1)</x:f>
        <x:v>1</x:v>
      </x:c>
      <x:c r="J323" s="563" t="n">
        <x:f>MAX(G323*D323*I323,0)</x:f>
        <x:v>476.0181638067866</x:v>
      </x:c>
      <x:c r="K323" s="563" t="n">
        <x:f>MAX(MIN(J323*F323,H323),0)</x:f>
        <x:v>190.40726552271465</x:v>
      </x:c>
      <x:c r="L323" s="563" t="n">
        <x:f>MAX(J323-K323,0)</x:f>
        <x:v>285.61089828407194</x:v>
      </x:c>
      <x:c r="M323" s="185" t="n">
        <x:f>MAX('詳細設定'!$D$6,0)*(1+'詳細設定'!$D$21)^(B323-1)</x:f>
        <x:v>37.153205271035006</x:v>
      </x:c>
      <x:c r="N323" s="185" t="n">
        <x:f>IF(B323&lt;=MAX(MIN('詳細設定'!$D$8,20),0),MAX('詳細設定'!$D$7,0),IF(B323&lt;=MAX(MIN('詳細設定'!$D$10,20),0),MAX('詳細設定'!$D$9,0),MAX('詳細設定'!$D$11,0)))</x:f>
        <x:v>8.3</x:v>
      </x:c>
      <x:c r="O323" s="190" t="n">
        <x:f>K323*M323</x:f>
        <x:v>7074.240221061884</x:v>
      </x:c>
      <x:c r="P323" s="190" t="n">
        <x:f>L323*N323</x:f>
        <x:v>2370.5704557577974</x:v>
      </x:c>
      <x:c r="Q323" s="190" t="n">
        <x:f>O323+P323</x:f>
        <x:v>9444.810676819681</x:v>
      </x:c>
      <x:c r="R323" s="196" t="n">
        <x:f>J323-K323-L323</x:f>
        <x:v>0</x:v>
      </x:c>
    </x:row>
    <x:row r="324">
      <x:c r="A324" s="20" t="str">
        <x:v>標準</x:v>
      </x:c>
      <x:c r="B324" s="20" t="n">
        <x:v>7</x:v>
      </x:c>
      <x:c r="C324" s="20" t="n">
        <x:v>8</x:v>
      </x:c>
      <x:c r="D324" s="189" t="n">
        <x:v>1</x:v>
      </x:c>
      <x:c r="E324" s="189" t="n">
        <x:v>1</x:v>
      </x:c>
      <x:c r="F324" s="189" t="n">
        <x:f>MAX(MIN('詳細設定'!$D$15+0,1),0)</x:f>
        <x:v>0.4</x:v>
      </x:c>
      <x:c r="G324" s="563" t="n">
        <x:f>'_計算月次'!$J$12</x:f>
        <x:v>528.6548067323699</x:v>
      </x:c>
      <x:c r="H324" s="563" t="n">
        <x:f>'_計算月次'!$K$12</x:f>
        <x:v>450</x:v>
      </x:c>
      <x:c r="I324" s="563" t="n">
        <x:f>(1-MAX(MIN('詳細設定'!$D$16,0.999999),0))^(B324-1)</x:f>
        <x:v>1</x:v>
      </x:c>
      <x:c r="J324" s="563" t="n">
        <x:f>MAX(G324*D324*I324,0)</x:f>
        <x:v>528.6548067323699</x:v>
      </x:c>
      <x:c r="K324" s="563" t="n">
        <x:f>MAX(MIN(J324*F324,H324),0)</x:f>
        <x:v>211.46192269294798</x:v>
      </x:c>
      <x:c r="L324" s="563" t="n">
        <x:f>MAX(J324-K324,0)</x:f>
        <x:v>317.192884039422</x:v>
      </x:c>
      <x:c r="M324" s="185" t="n">
        <x:f>MAX('詳細設定'!$D$6,0)*(1+'詳細設定'!$D$21)^(B324-1)</x:f>
        <x:v>37.153205271035006</x:v>
      </x:c>
      <x:c r="N324" s="185" t="n">
        <x:f>IF(B324&lt;=MAX(MIN('詳細設定'!$D$8,20),0),MAX('詳細設定'!$D$7,0),IF(B324&lt;=MAX(MIN('詳細設定'!$D$10,20),0),MAX('詳細設定'!$D$9,0),MAX('詳細設定'!$D$11,0)))</x:f>
        <x:v>8.3</x:v>
      </x:c>
      <x:c r="O324" s="190" t="n">
        <x:f>K324*M324</x:f>
        <x:v>7856.488220818832</x:v>
      </x:c>
      <x:c r="P324" s="190" t="n">
        <x:f>L324*N324</x:f>
        <x:v>2632.7009375272028</x:v>
      </x:c>
      <x:c r="Q324" s="190" t="n">
        <x:f>O324+P324</x:f>
        <x:v>10489.189158346035</x:v>
      </x:c>
      <x:c r="R324" s="196" t="n">
        <x:f>J324-K324-L324</x:f>
        <x:v>0</x:v>
      </x:c>
    </x:row>
    <x:row r="325">
      <x:c r="A325" s="20" t="str">
        <x:v>標準</x:v>
      </x:c>
      <x:c r="B325" s="20" t="n">
        <x:v>7</x:v>
      </x:c>
      <x:c r="C325" s="20" t="n">
        <x:v>9</x:v>
      </x:c>
      <x:c r="D325" s="189" t="n">
        <x:v>1</x:v>
      </x:c>
      <x:c r="E325" s="189" t="n">
        <x:v>1</x:v>
      </x:c>
      <x:c r="F325" s="189" t="n">
        <x:f>MAX(MIN('詳細設定'!$D$15+0,1),0)</x:f>
        <x:v>0.4</x:v>
      </x:c>
      <x:c r="G325" s="563" t="n">
        <x:f>'_計算月次'!$J$13</x:f>
        <x:v>436.37734765103465</x:v>
      </x:c>
      <x:c r="H325" s="563" t="n">
        <x:f>'_計算月次'!$K$13</x:f>
        <x:v>360</x:v>
      </x:c>
      <x:c r="I325" s="563" t="n">
        <x:f>(1-MAX(MIN('詳細設定'!$D$16,0.999999),0))^(B325-1)</x:f>
        <x:v>1</x:v>
      </x:c>
      <x:c r="J325" s="563" t="n">
        <x:f>MAX(G325*D325*I325,0)</x:f>
        <x:v>436.37734765103465</x:v>
      </x:c>
      <x:c r="K325" s="563" t="n">
        <x:f>MAX(MIN(J325*F325,H325),0)</x:f>
        <x:v>174.55093906041387</x:v>
      </x:c>
      <x:c r="L325" s="563" t="n">
        <x:f>MAX(J325-K325,0)</x:f>
        <x:v>261.82640859062076</x:v>
      </x:c>
      <x:c r="M325" s="185" t="n">
        <x:f>MAX('詳細設定'!$D$6,0)*(1+'詳細設定'!$D$21)^(B325-1)</x:f>
        <x:v>37.153205271035006</x:v>
      </x:c>
      <x:c r="N325" s="185" t="n">
        <x:f>IF(B325&lt;=MAX(MIN('詳細設定'!$D$8,20),0),MAX('詳細設定'!$D$7,0),IF(B325&lt;=MAX(MIN('詳細設定'!$D$10,20),0),MAX('詳細設定'!$D$9,0),MAX('詳細設定'!$D$11,0)))</x:f>
        <x:v>8.3</x:v>
      </x:c>
      <x:c r="O325" s="190" t="n">
        <x:f>K325*M325</x:f>
        <x:v>6485.126869163479</x:v>
      </x:c>
      <x:c r="P325" s="190" t="n">
        <x:f>L325*N325</x:f>
        <x:v>2173.1591913021525</x:v>
      </x:c>
      <x:c r="Q325" s="190" t="n">
        <x:f>O325+P325</x:f>
        <x:v>8658.28606046563</x:v>
      </x:c>
      <x:c r="R325" s="196" t="n">
        <x:f>J325-K325-L325</x:f>
        <x:v>0</x:v>
      </x:c>
    </x:row>
    <x:row r="326">
      <x:c r="A326" s="20" t="str">
        <x:v>標準</x:v>
      </x:c>
      <x:c r="B326" s="20" t="n">
        <x:v>7</x:v>
      </x:c>
      <x:c r="C326" s="20" t="n">
        <x:v>10</x:v>
      </x:c>
      <x:c r="D326" s="189" t="n">
        <x:v>1</x:v>
      </x:c>
      <x:c r="E326" s="189" t="n">
        <x:v>1</x:v>
      </x:c>
      <x:c r="F326" s="189" t="n">
        <x:f>MAX(MIN('詳細設定'!$D$15+0,1),0)</x:f>
        <x:v>0.4</x:v>
      </x:c>
      <x:c r="G326" s="563" t="n">
        <x:f>'_計算月次'!$J$14</x:f>
        <x:v>408.8269849869007</x:v>
      </x:c>
      <x:c r="H326" s="563" t="n">
        <x:f>'_計算月次'!$K$14</x:f>
        <x:v>315.00000000000006</x:v>
      </x:c>
      <x:c r="I326" s="563" t="n">
        <x:f>(1-MAX(MIN('詳細設定'!$D$16,0.999999),0))^(B326-1)</x:f>
        <x:v>1</x:v>
      </x:c>
      <x:c r="J326" s="563" t="n">
        <x:f>MAX(G326*D326*I326,0)</x:f>
        <x:v>408.8269849869007</x:v>
      </x:c>
      <x:c r="K326" s="563" t="n">
        <x:f>MAX(MIN(J326*F326,H326),0)</x:f>
        <x:v>163.5307939947603</x:v>
      </x:c>
      <x:c r="L326" s="563" t="n">
        <x:f>MAX(J326-K326,0)</x:f>
        <x:v>245.2961909921404</x:v>
      </x:c>
      <x:c r="M326" s="185" t="n">
        <x:f>MAX('詳細設定'!$D$6,0)*(1+'詳細設定'!$D$21)^(B326-1)</x:f>
        <x:v>37.153205271035006</x:v>
      </x:c>
      <x:c r="N326" s="185" t="n">
        <x:f>IF(B326&lt;=MAX(MIN('詳細設定'!$D$8,20),0),MAX('詳細設定'!$D$7,0),IF(B326&lt;=MAX(MIN('詳細設定'!$D$10,20),0),MAX('詳細設定'!$D$9,0),MAX('詳細設定'!$D$11,0)))</x:f>
        <x:v>8.3</x:v>
      </x:c>
      <x:c r="O326" s="190" t="n">
        <x:f>K326*M326</x:f>
        <x:v>6075.693157422668</x:v>
      </x:c>
      <x:c r="P326" s="190" t="n">
        <x:f>L326*N326</x:f>
        <x:v>2035.9583852347655</x:v>
      </x:c>
      <x:c r="Q326" s="190" t="n">
        <x:f>O326+P326</x:f>
        <x:v>8111.651542657433</x:v>
      </x:c>
      <x:c r="R326" s="196" t="n">
        <x:f>J326-K326-L326</x:f>
        <x:v>0</x:v>
      </x:c>
    </x:row>
    <x:row r="327">
      <x:c r="A327" s="20" t="str">
        <x:v>標準</x:v>
      </x:c>
      <x:c r="B327" s="20" t="n">
        <x:v>7</x:v>
      </x:c>
      <x:c r="C327" s="20" t="n">
        <x:v>11</x:v>
      </x:c>
      <x:c r="D327" s="189" t="n">
        <x:v>1</x:v>
      </x:c>
      <x:c r="E327" s="189" t="n">
        <x:v>1</x:v>
      </x:c>
      <x:c r="F327" s="189" t="n">
        <x:f>MAX(MIN('詳細設定'!$D$15+0,1),0)</x:f>
        <x:v>0.4</x:v>
      </x:c>
      <x:c r="G327" s="563" t="n">
        <x:f>'_計算月次'!$J$15</x:f>
        <x:v>398.45169764745054</x:v>
      </x:c>
      <x:c r="H327" s="563" t="n">
        <x:f>'_計算月次'!$K$15</x:f>
        <x:v>360</x:v>
      </x:c>
      <x:c r="I327" s="563" t="n">
        <x:f>(1-MAX(MIN('詳細設定'!$D$16,0.999999),0))^(B327-1)</x:f>
        <x:v>1</x:v>
      </x:c>
      <x:c r="J327" s="563" t="n">
        <x:f>MAX(G327*D327*I327,0)</x:f>
        <x:v>398.45169764745054</x:v>
      </x:c>
      <x:c r="K327" s="563" t="n">
        <x:f>MAX(MIN(J327*F327,H327),0)</x:f>
        <x:v>159.38067905898023</x:v>
      </x:c>
      <x:c r="L327" s="563" t="n">
        <x:f>MAX(J327-K327,0)</x:f>
        <x:v>239.0710185884703</x:v>
      </x:c>
      <x:c r="M327" s="185" t="n">
        <x:f>MAX('詳細設定'!$D$6,0)*(1+'詳細設定'!$D$21)^(B327-1)</x:f>
        <x:v>37.153205271035006</x:v>
      </x:c>
      <x:c r="N327" s="185" t="n">
        <x:f>IF(B327&lt;=MAX(MIN('詳細設定'!$D$8,20),0),MAX('詳細設定'!$D$7,0),IF(B327&lt;=MAX(MIN('詳細設定'!$D$10,20),0),MAX('詳細設定'!$D$9,0),MAX('詳細設定'!$D$11,0)))</x:f>
        <x:v>8.3</x:v>
      </x:c>
      <x:c r="O327" s="190" t="n">
        <x:f>K327*M327</x:f>
        <x:v>5921.503085315243</x:v>
      </x:c>
      <x:c r="P327" s="190" t="n">
        <x:f>L327*N327</x:f>
        <x:v>1984.2894542843037</x:v>
      </x:c>
      <x:c r="Q327" s="190" t="n">
        <x:f>O327+P327</x:f>
        <x:v>7905.792539599546</x:v>
      </x:c>
      <x:c r="R327" s="196" t="n">
        <x:f>J327-K327-L327</x:f>
        <x:v>0</x:v>
      </x:c>
    </x:row>
    <x:row r="328">
      <x:c r="A328" s="20" t="str">
        <x:v>標準</x:v>
      </x:c>
      <x:c r="B328" s="20" t="n">
        <x:v>7</x:v>
      </x:c>
      <x:c r="C328" s="20" t="n">
        <x:v>12</x:v>
      </x:c>
      <x:c r="D328" s="189" t="n">
        <x:v>1</x:v>
      </x:c>
      <x:c r="E328" s="189" t="n">
        <x:v>1</x:v>
      </x:c>
      <x:c r="F328" s="189" t="n">
        <x:f>MAX(MIN('詳細設定'!$D$15+0,1),0)</x:f>
        <x:v>0.4</x:v>
      </x:c>
      <x:c r="G328" s="563" t="n">
        <x:f>'_計算月次'!$J$16</x:f>
        <x:v>443.97248688000184</x:v>
      </x:c>
      <x:c r="H328" s="563" t="n">
        <x:f>'_計算月次'!$K$16</x:f>
        <x:v>405</x:v>
      </x:c>
      <x:c r="I328" s="563" t="n">
        <x:f>(1-MAX(MIN('詳細設定'!$D$16,0.999999),0))^(B328-1)</x:f>
        <x:v>1</x:v>
      </x:c>
      <x:c r="J328" s="563" t="n">
        <x:f>MAX(G328*D328*I328,0)</x:f>
        <x:v>443.97248688000184</x:v>
      </x:c>
      <x:c r="K328" s="563" t="n">
        <x:f>MAX(MIN(J328*F328,H328),0)</x:f>
        <x:v>177.58899475200076</x:v>
      </x:c>
      <x:c r="L328" s="563" t="n">
        <x:f>MAX(J328-K328,0)</x:f>
        <x:v>266.3834921280011</x:v>
      </x:c>
      <x:c r="M328" s="185" t="n">
        <x:f>MAX('詳細設定'!$D$6,0)*(1+'詳細設定'!$D$21)^(B328-1)</x:f>
        <x:v>37.153205271035006</x:v>
      </x:c>
      <x:c r="N328" s="185" t="n">
        <x:f>IF(B328&lt;=MAX(MIN('詳細設定'!$D$8,20),0),MAX('詳細設定'!$D$7,0),IF(B328&lt;=MAX(MIN('詳細設定'!$D$10,20),0),MAX('詳細設定'!$D$9,0),MAX('詳細設定'!$D$11,0)))</x:f>
        <x:v>8.3</x:v>
      </x:c>
      <x:c r="O328" s="190" t="n">
        <x:f>K328*M328</x:f>
        <x:v>6598.000375897843</x:v>
      </x:c>
      <x:c r="P328" s="190" t="n">
        <x:f>L328*N328</x:f>
        <x:v>2210.9829846624093</x:v>
      </x:c>
      <x:c r="Q328" s="190" t="n">
        <x:f>O328+P328</x:f>
        <x:v>8808.983360560253</x:v>
      </x:c>
      <x:c r="R328" s="196" t="n">
        <x:f>J328-K328-L328</x:f>
        <x:v>0</x:v>
      </x:c>
    </x:row>
    <x:row r="329">
      <x:c r="A329" s="20" t="str">
        <x:v>標準</x:v>
      </x:c>
      <x:c r="B329" s="20" t="n">
        <x:v>8</x:v>
      </x:c>
      <x:c r="C329" s="20" t="n">
        <x:v>1</x:v>
      </x:c>
      <x:c r="D329" s="189" t="n">
        <x:v>1</x:v>
      </x:c>
      <x:c r="E329" s="189" t="n">
        <x:v>1</x:v>
      </x:c>
      <x:c r="F329" s="189" t="n">
        <x:f>MAX(MIN('詳細設定'!$D$15+0,1),0)</x:f>
        <x:v>0.4</x:v>
      </x:c>
      <x:c r="G329" s="563" t="n">
        <x:f>'_計算月次'!$J$5</x:f>
        <x:v>502.4147595742038</x:v>
      </x:c>
      <x:c r="H329" s="563" t="n">
        <x:f>'_計算月次'!$K$5</x:f>
        <x:v>450</x:v>
      </x:c>
      <x:c r="I329" s="563" t="n">
        <x:f>(1-MAX(MIN('詳細設定'!$D$16,0.999999),0))^(B329-1)</x:f>
        <x:v>1</x:v>
      </x:c>
      <x:c r="J329" s="563" t="n">
        <x:f>MAX(G329*D329*I329,0)</x:f>
        <x:v>502.4147595742038</x:v>
      </x:c>
      <x:c r="K329" s="563" t="n">
        <x:f>MAX(MIN(J329*F329,H329),0)</x:f>
        <x:v>200.96590382968154</x:v>
      </x:c>
      <x:c r="L329" s="563" t="n">
        <x:f>MAX(J329-K329,0)</x:f>
        <x:v>301.44885574452223</x:v>
      </x:c>
      <x:c r="M329" s="185" t="n">
        <x:f>MAX('詳細設定'!$D$6,0)*(1+'詳細設定'!$D$21)^(B329-1)</x:f>
        <x:v>37.52473732374535</x:v>
      </x:c>
      <x:c r="N329" s="185" t="n">
        <x:f>IF(B329&lt;=MAX(MIN('詳細設定'!$D$8,20),0),MAX('詳細設定'!$D$7,0),IF(B329&lt;=MAX(MIN('詳細設定'!$D$10,20),0),MAX('詳細設定'!$D$9,0),MAX('詳細設定'!$D$11,0)))</x:f>
        <x:v>8.3</x:v>
      </x:c>
      <x:c r="O329" s="190" t="n">
        <x:f>K329*M329</x:f>
        <x:v>7541.192752237869</x:v>
      </x:c>
      <x:c r="P329" s="190" t="n">
        <x:f>L329*N329</x:f>
        <x:v>2502.025502679535</x:v>
      </x:c>
      <x:c r="Q329" s="190" t="n">
        <x:f>O329+P329</x:f>
        <x:v>10043.218254917403</x:v>
      </x:c>
      <x:c r="R329" s="196" t="n">
        <x:f>J329-K329-L329</x:f>
        <x:v>0</x:v>
      </x:c>
    </x:row>
    <x:row r="330">
      <x:c r="A330" s="20" t="str">
        <x:v>標準</x:v>
      </x:c>
      <x:c r="B330" s="20" t="n">
        <x:v>8</x:v>
      </x:c>
      <x:c r="C330" s="20" t="n">
        <x:v>2</x:v>
      </x:c>
      <x:c r="D330" s="189" t="n">
        <x:v>1</x:v>
      </x:c>
      <x:c r="E330" s="189" t="n">
        <x:v>1</x:v>
      </x:c>
      <x:c r="F330" s="189" t="n">
        <x:f>MAX(MIN('詳細設定'!$D$15+0,1),0)</x:f>
        <x:v>0.4</x:v>
      </x:c>
      <x:c r="G330" s="563" t="n">
        <x:f>'_計算月次'!$J$6</x:f>
        <x:v>472.4508339500229</x:v>
      </x:c>
      <x:c r="H330" s="563" t="n">
        <x:f>'_計算月次'!$K$6</x:f>
        <x:v>405</x:v>
      </x:c>
      <x:c r="I330" s="563" t="n">
        <x:f>(1-MAX(MIN('詳細設定'!$D$16,0.999999),0))^(B330-1)</x:f>
        <x:v>1</x:v>
      </x:c>
      <x:c r="J330" s="563" t="n">
        <x:f>MAX(G330*D330*I330,0)</x:f>
        <x:v>472.4508339500229</x:v>
      </x:c>
      <x:c r="K330" s="563" t="n">
        <x:f>MAX(MIN(J330*F330,H330),0)</x:f>
        <x:v>188.9803335800092</x:v>
      </x:c>
      <x:c r="L330" s="563" t="n">
        <x:f>MAX(J330-K330,0)</x:f>
        <x:v>283.4705003700137</x:v>
      </x:c>
      <x:c r="M330" s="185" t="n">
        <x:f>MAX('詳細設定'!$D$6,0)*(1+'詳細設定'!$D$21)^(B330-1)</x:f>
        <x:v>37.52473732374535</x:v>
      </x:c>
      <x:c r="N330" s="185" t="n">
        <x:f>IF(B330&lt;=MAX(MIN('詳細設定'!$D$8,20),0),MAX('詳細設定'!$D$7,0),IF(B330&lt;=MAX(MIN('詳細設定'!$D$10,20),0),MAX('詳細設定'!$D$9,0),MAX('詳細設定'!$D$11,0)))</x:f>
        <x:v>8.3</x:v>
      </x:c>
      <x:c r="O330" s="190" t="n">
        <x:f>K330*M330</x:f>
        <x:v>7091.437376943617</x:v>
      </x:c>
      <x:c r="P330" s="190" t="n">
        <x:f>L330*N330</x:f>
        <x:v>2352.805153071114</x:v>
      </x:c>
      <x:c r="Q330" s="190" t="n">
        <x:f>O330+P330</x:f>
        <x:v>9444.242530014732</x:v>
      </x:c>
      <x:c r="R330" s="196" t="n">
        <x:f>J330-K330-L330</x:f>
        <x:v>0</x:v>
      </x:c>
    </x:row>
    <x:row r="331">
      <x:c r="A331" s="20" t="str">
        <x:v>標準</x:v>
      </x:c>
      <x:c r="B331" s="20" t="n">
        <x:v>8</x:v>
      </x:c>
      <x:c r="C331" s="20" t="n">
        <x:v>3</x:v>
      </x:c>
      <x:c r="D331" s="189" t="n">
        <x:v>1</x:v>
      </x:c>
      <x:c r="E331" s="189" t="n">
        <x:v>1</x:v>
      </x:c>
      <x:c r="F331" s="189" t="n">
        <x:f>MAX(MIN('詳細設定'!$D$15+0,1),0)</x:f>
        <x:v>0.4</x:v>
      </x:c>
      <x:c r="G331" s="563" t="n">
        <x:f>'_計算月次'!$J$7</x:f>
        <x:v>548.3418864753118</x:v>
      </x:c>
      <x:c r="H331" s="563" t="n">
        <x:f>'_計算月次'!$K$7</x:f>
        <x:v>360</x:v>
      </x:c>
      <x:c r="I331" s="563" t="n">
        <x:f>(1-MAX(MIN('詳細設定'!$D$16,0.999999),0))^(B331-1)</x:f>
        <x:v>1</x:v>
      </x:c>
      <x:c r="J331" s="563" t="n">
        <x:f>MAX(G331*D331*I331,0)</x:f>
        <x:v>548.3418864753118</x:v>
      </x:c>
      <x:c r="K331" s="563" t="n">
        <x:f>MAX(MIN(J331*F331,H331),0)</x:f>
        <x:v>219.3367545901247</x:v>
      </x:c>
      <x:c r="L331" s="563" t="n">
        <x:f>MAX(J331-K331,0)</x:f>
        <x:v>329.00513188518704</x:v>
      </x:c>
      <x:c r="M331" s="185" t="n">
        <x:f>MAX('詳細設定'!$D$6,0)*(1+'詳細設定'!$D$21)^(B331-1)</x:f>
        <x:v>37.52473732374535</x:v>
      </x:c>
      <x:c r="N331" s="185" t="n">
        <x:f>IF(B331&lt;=MAX(MIN('詳細設定'!$D$8,20),0),MAX('詳細設定'!$D$7,0),IF(B331&lt;=MAX(MIN('詳細設定'!$D$10,20),0),MAX('詳細設定'!$D$9,0),MAX('詳細設定'!$D$11,0)))</x:f>
        <x:v>8.3</x:v>
      </x:c>
      <x:c r="O331" s="190" t="n">
        <x:f>K331*M331</x:f>
        <x:v>8230.554101437227</x:v>
      </x:c>
      <x:c r="P331" s="190" t="n">
        <x:f>L331*N331</x:f>
        <x:v>2730.7425946470526</x:v>
      </x:c>
      <x:c r="Q331" s="190" t="n">
        <x:f>O331+P331</x:f>
        <x:v>10961.296696084279</x:v>
      </x:c>
      <x:c r="R331" s="196" t="n">
        <x:f>J331-K331-L331</x:f>
        <x:v>0</x:v>
      </x:c>
    </x:row>
    <x:row r="332">
      <x:c r="A332" s="20" t="str">
        <x:v>標準</x:v>
      </x:c>
      <x:c r="B332" s="20" t="n">
        <x:v>8</x:v>
      </x:c>
      <x:c r="C332" s="20" t="n">
        <x:v>4</x:v>
      </x:c>
      <x:c r="D332" s="189" t="n">
        <x:v>1</x:v>
      </x:c>
      <x:c r="E332" s="189" t="n">
        <x:v>1</x:v>
      </x:c>
      <x:c r="F332" s="189" t="n">
        <x:f>MAX(MIN('詳細設定'!$D$15+0,1),0)</x:f>
        <x:v>0.4</x:v>
      </x:c>
      <x:c r="G332" s="563" t="n">
        <x:f>'_計算月次'!$J$8</x:f>
        <x:v>548.3944393749554</x:v>
      </x:c>
      <x:c r="H332" s="563" t="n">
        <x:f>'_計算月次'!$K$8</x:f>
        <x:v>315.00000000000006</x:v>
      </x:c>
      <x:c r="I332" s="563" t="n">
        <x:f>(1-MAX(MIN('詳細設定'!$D$16,0.999999),0))^(B332-1)</x:f>
        <x:v>1</x:v>
      </x:c>
      <x:c r="J332" s="563" t="n">
        <x:f>MAX(G332*D332*I332,0)</x:f>
        <x:v>548.3944393749554</x:v>
      </x:c>
      <x:c r="K332" s="563" t="n">
        <x:f>MAX(MIN(J332*F332,H332),0)</x:f>
        <x:v>219.35777574998215</x:v>
      </x:c>
      <x:c r="L332" s="563" t="n">
        <x:f>MAX(J332-K332,0)</x:f>
        <x:v>329.03666362497324</x:v>
      </x:c>
      <x:c r="M332" s="185" t="n">
        <x:f>MAX('詳細設定'!$D$6,0)*(1+'詳細設定'!$D$21)^(B332-1)</x:f>
        <x:v>37.52473732374535</x:v>
      </x:c>
      <x:c r="N332" s="185" t="n">
        <x:f>IF(B332&lt;=MAX(MIN('詳細設定'!$D$8,20),0),MAX('詳細設定'!$D$7,0),IF(B332&lt;=MAX(MIN('詳細設定'!$D$10,20),0),MAX('詳細設定'!$D$9,0),MAX('詳細設定'!$D$11,0)))</x:f>
        <x:v>8.3</x:v>
      </x:c>
      <x:c r="O332" s="190" t="n">
        <x:f>K332*M332</x:f>
        <x:v>8231.342914939118</x:v>
      </x:c>
      <x:c r="P332" s="190" t="n">
        <x:f>L332*N332</x:f>
        <x:v>2731.0043080872783</x:v>
      </x:c>
      <x:c r="Q332" s="190" t="n">
        <x:f>O332+P332</x:f>
        <x:v>10962.347223026396</x:v>
      </x:c>
      <x:c r="R332" s="196" t="n">
        <x:f>J332-K332-L332</x:f>
        <x:v>0</x:v>
      </x:c>
    </x:row>
    <x:row r="333">
      <x:c r="A333" s="20" t="str">
        <x:v>標準</x:v>
      </x:c>
      <x:c r="B333" s="20" t="n">
        <x:v>8</x:v>
      </x:c>
      <x:c r="C333" s="20" t="n">
        <x:v>5</x:v>
      </x:c>
      <x:c r="D333" s="189" t="n">
        <x:v>1</x:v>
      </x:c>
      <x:c r="E333" s="189" t="n">
        <x:v>1</x:v>
      </x:c>
      <x:c r="F333" s="189" t="n">
        <x:f>MAX(MIN('詳細設定'!$D$15+0,1),0)</x:f>
        <x:v>0.4</x:v>
      </x:c>
      <x:c r="G333" s="563" t="n">
        <x:f>'_計算月次'!$J$9</x:f>
        <x:v>552.2367574934775</x:v>
      </x:c>
      <x:c r="H333" s="563" t="n">
        <x:f>'_計算月次'!$K$9</x:f>
        <x:v>315.00000000000006</x:v>
      </x:c>
      <x:c r="I333" s="563" t="n">
        <x:f>(1-MAX(MIN('詳細設定'!$D$16,0.999999),0))^(B333-1)</x:f>
        <x:v>1</x:v>
      </x:c>
      <x:c r="J333" s="563" t="n">
        <x:f>MAX(G333*D333*I333,0)</x:f>
        <x:v>552.2367574934775</x:v>
      </x:c>
      <x:c r="K333" s="563" t="n">
        <x:f>MAX(MIN(J333*F333,H333),0)</x:f>
        <x:v>220.89470299739102</x:v>
      </x:c>
      <x:c r="L333" s="563" t="n">
        <x:f>MAX(J333-K333,0)</x:f>
        <x:v>331.34205449608646</x:v>
      </x:c>
      <x:c r="M333" s="185" t="n">
        <x:f>MAX('詳細設定'!$D$6,0)*(1+'詳細設定'!$D$21)^(B333-1)</x:f>
        <x:v>37.52473732374535</x:v>
      </x:c>
      <x:c r="N333" s="185" t="n">
        <x:f>IF(B333&lt;=MAX(MIN('詳細設定'!$D$8,20),0),MAX('詳細設定'!$D$7,0),IF(B333&lt;=MAX(MIN('詳細設定'!$D$10,20),0),MAX('詳細設定'!$D$9,0),MAX('詳細設定'!$D$11,0)))</x:f>
        <x:v>8.3</x:v>
      </x:c>
      <x:c r="O333" s="190" t="n">
        <x:f>K333*M333</x:f>
        <x:v>8289.015706183842</x:v>
      </x:c>
      <x:c r="P333" s="190" t="n">
        <x:f>L333*N333</x:f>
        <x:v>2750.139052317518</x:v>
      </x:c>
      <x:c r="Q333" s="190" t="n">
        <x:f>O333+P333</x:f>
        <x:v>11039.15475850136</x:v>
      </x:c>
      <x:c r="R333" s="196" t="n">
        <x:f>J333-K333-L333</x:f>
        <x:v>0</x:v>
      </x:c>
    </x:row>
    <x:row r="334">
      <x:c r="A334" s="20" t="str">
        <x:v>標準</x:v>
      </x:c>
      <x:c r="B334" s="20" t="n">
        <x:v>8</x:v>
      </x:c>
      <x:c r="C334" s="20" t="n">
        <x:v>6</x:v>
      </x:c>
      <x:c r="D334" s="189" t="n">
        <x:v>1</x:v>
      </x:c>
      <x:c r="E334" s="189" t="n">
        <x:v>1</x:v>
      </x:c>
      <x:c r="F334" s="189" t="n">
        <x:f>MAX(MIN('詳細設定'!$D$15+0,1),0)</x:f>
        <x:v>0.4</x:v>
      </x:c>
      <x:c r="G334" s="563" t="n">
        <x:f>'_計算月次'!$J$10</x:f>
        <x:v>448.7994857612148</x:v>
      </x:c>
      <x:c r="H334" s="563" t="n">
        <x:f>'_計算月次'!$K$10</x:f>
        <x:v>360</x:v>
      </x:c>
      <x:c r="I334" s="563" t="n">
        <x:f>(1-MAX(MIN('詳細設定'!$D$16,0.999999),0))^(B334-1)</x:f>
        <x:v>1</x:v>
      </x:c>
      <x:c r="J334" s="563" t="n">
        <x:f>MAX(G334*D334*I334,0)</x:f>
        <x:v>448.7994857612148</x:v>
      </x:c>
      <x:c r="K334" s="563" t="n">
        <x:f>MAX(MIN(J334*F334,H334),0)</x:f>
        <x:v>179.5197943044859</x:v>
      </x:c>
      <x:c r="L334" s="563" t="n">
        <x:f>MAX(J334-K334,0)</x:f>
        <x:v>269.27969145672887</x:v>
      </x:c>
      <x:c r="M334" s="185" t="n">
        <x:f>MAX('詳細設定'!$D$6,0)*(1+'詳細設定'!$D$21)^(B334-1)</x:f>
        <x:v>37.52473732374535</x:v>
      </x:c>
      <x:c r="N334" s="185" t="n">
        <x:f>IF(B334&lt;=MAX(MIN('詳細設定'!$D$8,20),0),MAX('詳細設定'!$D$7,0),IF(B334&lt;=MAX(MIN('詳細設定'!$D$10,20),0),MAX('詳細設定'!$D$9,0),MAX('詳細設定'!$D$11,0)))</x:f>
        <x:v>8.3</x:v>
      </x:c>
      <x:c r="O334" s="190" t="n">
        <x:f>K334*M334</x:f>
        <x:v>6736.43312568863</x:v>
      </x:c>
      <x:c r="P334" s="190" t="n">
        <x:f>L334*N334</x:f>
        <x:v>2235.02143909085</x:v>
      </x:c>
      <x:c r="Q334" s="190" t="n">
        <x:f>O334+P334</x:f>
        <x:v>8971.45456477948</x:v>
      </x:c>
      <x:c r="R334" s="196" t="n">
        <x:f>J334-K334-L334</x:f>
        <x:v>0</x:v>
      </x:c>
    </x:row>
    <x:row r="335">
      <x:c r="A335" s="20" t="str">
        <x:v>標準</x:v>
      </x:c>
      <x:c r="B335" s="20" t="n">
        <x:v>8</x:v>
      </x:c>
      <x:c r="C335" s="20" t="n">
        <x:v>7</x:v>
      </x:c>
      <x:c r="D335" s="189" t="n">
        <x:v>1</x:v>
      </x:c>
      <x:c r="E335" s="189" t="n">
        <x:v>1</x:v>
      </x:c>
      <x:c r="F335" s="189" t="n">
        <x:f>MAX(MIN('詳細設定'!$D$15+0,1),0)</x:f>
        <x:v>0.4</x:v>
      </x:c>
      <x:c r="G335" s="563" t="n">
        <x:f>'_計算月次'!$J$11</x:f>
        <x:v>476.0181638067866</x:v>
      </x:c>
      <x:c r="H335" s="563" t="n">
        <x:f>'_計算月次'!$K$11</x:f>
        <x:v>405</x:v>
      </x:c>
      <x:c r="I335" s="563" t="n">
        <x:f>(1-MAX(MIN('詳細設定'!$D$16,0.999999),0))^(B335-1)</x:f>
        <x:v>1</x:v>
      </x:c>
      <x:c r="J335" s="563" t="n">
        <x:f>MAX(G335*D335*I335,0)</x:f>
        <x:v>476.0181638067866</x:v>
      </x:c>
      <x:c r="K335" s="563" t="n">
        <x:f>MAX(MIN(J335*F335,H335),0)</x:f>
        <x:v>190.40726552271465</x:v>
      </x:c>
      <x:c r="L335" s="563" t="n">
        <x:f>MAX(J335-K335,0)</x:f>
        <x:v>285.61089828407194</x:v>
      </x:c>
      <x:c r="M335" s="185" t="n">
        <x:f>MAX('詳細設定'!$D$6,0)*(1+'詳細設定'!$D$21)^(B335-1)</x:f>
        <x:v>37.52473732374535</x:v>
      </x:c>
      <x:c r="N335" s="185" t="n">
        <x:f>IF(B335&lt;=MAX(MIN('詳細設定'!$D$8,20),0),MAX('詳細設定'!$D$7,0),IF(B335&lt;=MAX(MIN('詳細設定'!$D$10,20),0),MAX('詳細設定'!$D$9,0),MAX('詳細設定'!$D$11,0)))</x:f>
        <x:v>8.3</x:v>
      </x:c>
      <x:c r="O335" s="190" t="n">
        <x:f>K335*M335</x:f>
        <x:v>7144.982623272502</x:v>
      </x:c>
      <x:c r="P335" s="190" t="n">
        <x:f>L335*N335</x:f>
        <x:v>2370.5704557577974</x:v>
      </x:c>
      <x:c r="Q335" s="190" t="n">
        <x:f>O335+P335</x:f>
        <x:v>9515.553079030298</x:v>
      </x:c>
      <x:c r="R335" s="196" t="n">
        <x:f>J335-K335-L335</x:f>
        <x:v>0</x:v>
      </x:c>
    </x:row>
    <x:row r="336">
      <x:c r="A336" s="20" t="str">
        <x:v>標準</x:v>
      </x:c>
      <x:c r="B336" s="20" t="n">
        <x:v>8</x:v>
      </x:c>
      <x:c r="C336" s="20" t="n">
        <x:v>8</x:v>
      </x:c>
      <x:c r="D336" s="189" t="n">
        <x:v>1</x:v>
      </x:c>
      <x:c r="E336" s="189" t="n">
        <x:v>1</x:v>
      </x:c>
      <x:c r="F336" s="189" t="n">
        <x:f>MAX(MIN('詳細設定'!$D$15+0,1),0)</x:f>
        <x:v>0.4</x:v>
      </x:c>
      <x:c r="G336" s="563" t="n">
        <x:f>'_計算月次'!$J$12</x:f>
        <x:v>528.6548067323699</x:v>
      </x:c>
      <x:c r="H336" s="563" t="n">
        <x:f>'_計算月次'!$K$12</x:f>
        <x:v>450</x:v>
      </x:c>
      <x:c r="I336" s="563" t="n">
        <x:f>(1-MAX(MIN('詳細設定'!$D$16,0.999999),0))^(B336-1)</x:f>
        <x:v>1</x:v>
      </x:c>
      <x:c r="J336" s="563" t="n">
        <x:f>MAX(G336*D336*I336,0)</x:f>
        <x:v>528.6548067323699</x:v>
      </x:c>
      <x:c r="K336" s="563" t="n">
        <x:f>MAX(MIN(J336*F336,H336),0)</x:f>
        <x:v>211.46192269294798</x:v>
      </x:c>
      <x:c r="L336" s="563" t="n">
        <x:f>MAX(J336-K336,0)</x:f>
        <x:v>317.192884039422</x:v>
      </x:c>
      <x:c r="M336" s="185" t="n">
        <x:f>MAX('詳細設定'!$D$6,0)*(1+'詳細設定'!$D$21)^(B336-1)</x:f>
        <x:v>37.52473732374535</x:v>
      </x:c>
      <x:c r="N336" s="185" t="n">
        <x:f>IF(B336&lt;=MAX(MIN('詳細設定'!$D$8,20),0),MAX('詳細設定'!$D$7,0),IF(B336&lt;=MAX(MIN('詳細設定'!$D$10,20),0),MAX('詳細設定'!$D$9,0),MAX('詳細設定'!$D$11,0)))</x:f>
        <x:v>8.3</x:v>
      </x:c>
      <x:c r="O336" s="190" t="n">
        <x:f>K336*M336</x:f>
        <x:v>7935.053103027019</x:v>
      </x:c>
      <x:c r="P336" s="190" t="n">
        <x:f>L336*N336</x:f>
        <x:v>2632.7009375272028</x:v>
      </x:c>
      <x:c r="Q336" s="190" t="n">
        <x:f>O336+P336</x:f>
        <x:v>10567.75404055422</x:v>
      </x:c>
      <x:c r="R336" s="196" t="n">
        <x:f>J336-K336-L336</x:f>
        <x:v>0</x:v>
      </x:c>
    </x:row>
    <x:row r="337">
      <x:c r="A337" s="20" t="str">
        <x:v>標準</x:v>
      </x:c>
      <x:c r="B337" s="20" t="n">
        <x:v>8</x:v>
      </x:c>
      <x:c r="C337" s="20" t="n">
        <x:v>9</x:v>
      </x:c>
      <x:c r="D337" s="189" t="n">
        <x:v>1</x:v>
      </x:c>
      <x:c r="E337" s="189" t="n">
        <x:v>1</x:v>
      </x:c>
      <x:c r="F337" s="189" t="n">
        <x:f>MAX(MIN('詳細設定'!$D$15+0,1),0)</x:f>
        <x:v>0.4</x:v>
      </x:c>
      <x:c r="G337" s="563" t="n">
        <x:f>'_計算月次'!$J$13</x:f>
        <x:v>436.37734765103465</x:v>
      </x:c>
      <x:c r="H337" s="563" t="n">
        <x:f>'_計算月次'!$K$13</x:f>
        <x:v>360</x:v>
      </x:c>
      <x:c r="I337" s="563" t="n">
        <x:f>(1-MAX(MIN('詳細設定'!$D$16,0.999999),0))^(B337-1)</x:f>
        <x:v>1</x:v>
      </x:c>
      <x:c r="J337" s="563" t="n">
        <x:f>MAX(G337*D337*I337,0)</x:f>
        <x:v>436.37734765103465</x:v>
      </x:c>
      <x:c r="K337" s="563" t="n">
        <x:f>MAX(MIN(J337*F337,H337),0)</x:f>
        <x:v>174.55093906041387</x:v>
      </x:c>
      <x:c r="L337" s="563" t="n">
        <x:f>MAX(J337-K337,0)</x:f>
        <x:v>261.82640859062076</x:v>
      </x:c>
      <x:c r="M337" s="185" t="n">
        <x:f>MAX('詳細設定'!$D$6,0)*(1+'詳細設定'!$D$21)^(B337-1)</x:f>
        <x:v>37.52473732374535</x:v>
      </x:c>
      <x:c r="N337" s="185" t="n">
        <x:f>IF(B337&lt;=MAX(MIN('詳細設定'!$D$8,20),0),MAX('詳細設定'!$D$7,0),IF(B337&lt;=MAX(MIN('詳細設定'!$D$10,20),0),MAX('詳細設定'!$D$9,0),MAX('詳細設定'!$D$11,0)))</x:f>
        <x:v>8.3</x:v>
      </x:c>
      <x:c r="O337" s="190" t="n">
        <x:f>K337*M337</x:f>
        <x:v>6549.978137855112</x:v>
      </x:c>
      <x:c r="P337" s="190" t="n">
        <x:f>L337*N337</x:f>
        <x:v>2173.1591913021525</x:v>
      </x:c>
      <x:c r="Q337" s="190" t="n">
        <x:f>O337+P337</x:f>
        <x:v>8723.137329157265</x:v>
      </x:c>
      <x:c r="R337" s="196" t="n">
        <x:f>J337-K337-L337</x:f>
        <x:v>0</x:v>
      </x:c>
    </x:row>
    <x:row r="338">
      <x:c r="A338" s="20" t="str">
        <x:v>標準</x:v>
      </x:c>
      <x:c r="B338" s="20" t="n">
        <x:v>8</x:v>
      </x:c>
      <x:c r="C338" s="20" t="n">
        <x:v>10</x:v>
      </x:c>
      <x:c r="D338" s="189" t="n">
        <x:v>1</x:v>
      </x:c>
      <x:c r="E338" s="189" t="n">
        <x:v>1</x:v>
      </x:c>
      <x:c r="F338" s="189" t="n">
        <x:f>MAX(MIN('詳細設定'!$D$15+0,1),0)</x:f>
        <x:v>0.4</x:v>
      </x:c>
      <x:c r="G338" s="563" t="n">
        <x:f>'_計算月次'!$J$14</x:f>
        <x:v>408.8269849869007</x:v>
      </x:c>
      <x:c r="H338" s="563" t="n">
        <x:f>'_計算月次'!$K$14</x:f>
        <x:v>315.00000000000006</x:v>
      </x:c>
      <x:c r="I338" s="563" t="n">
        <x:f>(1-MAX(MIN('詳細設定'!$D$16,0.999999),0))^(B338-1)</x:f>
        <x:v>1</x:v>
      </x:c>
      <x:c r="J338" s="563" t="n">
        <x:f>MAX(G338*D338*I338,0)</x:f>
        <x:v>408.8269849869007</x:v>
      </x:c>
      <x:c r="K338" s="563" t="n">
        <x:f>MAX(MIN(J338*F338,H338),0)</x:f>
        <x:v>163.5307939947603</x:v>
      </x:c>
      <x:c r="L338" s="563" t="n">
        <x:f>MAX(J338-K338,0)</x:f>
        <x:v>245.2961909921404</x:v>
      </x:c>
      <x:c r="M338" s="185" t="n">
        <x:f>MAX('詳細設定'!$D$6,0)*(1+'詳細設定'!$D$21)^(B338-1)</x:f>
        <x:v>37.52473732374535</x:v>
      </x:c>
      <x:c r="N338" s="185" t="n">
        <x:f>IF(B338&lt;=MAX(MIN('詳細設定'!$D$8,20),0),MAX('詳細設定'!$D$7,0),IF(B338&lt;=MAX(MIN('詳細設定'!$D$10,20),0),MAX('詳細設定'!$D$9,0),MAX('詳細設定'!$D$11,0)))</x:f>
        <x:v>8.3</x:v>
      </x:c>
      <x:c r="O338" s="190" t="n">
        <x:f>K338*M338</x:f>
        <x:v>6136.450088996894</x:v>
      </x:c>
      <x:c r="P338" s="190" t="n">
        <x:f>L338*N338</x:f>
        <x:v>2035.9583852347655</x:v>
      </x:c>
      <x:c r="Q338" s="190" t="n">
        <x:f>O338+P338</x:f>
        <x:v>8172.408474231659</x:v>
      </x:c>
      <x:c r="R338" s="196" t="n">
        <x:f>J338-K338-L338</x:f>
        <x:v>0</x:v>
      </x:c>
    </x:row>
    <x:row r="339">
      <x:c r="A339" s="20" t="str">
        <x:v>標準</x:v>
      </x:c>
      <x:c r="B339" s="20" t="n">
        <x:v>8</x:v>
      </x:c>
      <x:c r="C339" s="20" t="n">
        <x:v>11</x:v>
      </x:c>
      <x:c r="D339" s="189" t="n">
        <x:v>1</x:v>
      </x:c>
      <x:c r="E339" s="189" t="n">
        <x:v>1</x:v>
      </x:c>
      <x:c r="F339" s="189" t="n">
        <x:f>MAX(MIN('詳細設定'!$D$15+0,1),0)</x:f>
        <x:v>0.4</x:v>
      </x:c>
      <x:c r="G339" s="563" t="n">
        <x:f>'_計算月次'!$J$15</x:f>
        <x:v>398.45169764745054</x:v>
      </x:c>
      <x:c r="H339" s="563" t="n">
        <x:f>'_計算月次'!$K$15</x:f>
        <x:v>360</x:v>
      </x:c>
      <x:c r="I339" s="563" t="n">
        <x:f>(1-MAX(MIN('詳細設定'!$D$16,0.999999),0))^(B339-1)</x:f>
        <x:v>1</x:v>
      </x:c>
      <x:c r="J339" s="563" t="n">
        <x:f>MAX(G339*D339*I339,0)</x:f>
        <x:v>398.45169764745054</x:v>
      </x:c>
      <x:c r="K339" s="563" t="n">
        <x:f>MAX(MIN(J339*F339,H339),0)</x:f>
        <x:v>159.38067905898023</x:v>
      </x:c>
      <x:c r="L339" s="563" t="n">
        <x:f>MAX(J339-K339,0)</x:f>
        <x:v>239.0710185884703</x:v>
      </x:c>
      <x:c r="M339" s="185" t="n">
        <x:f>MAX('詳細設定'!$D$6,0)*(1+'詳細設定'!$D$21)^(B339-1)</x:f>
        <x:v>37.52473732374535</x:v>
      </x:c>
      <x:c r="N339" s="185" t="n">
        <x:f>IF(B339&lt;=MAX(MIN('詳細設定'!$D$8,20),0),MAX('詳細設定'!$D$7,0),IF(B339&lt;=MAX(MIN('詳細設定'!$D$10,20),0),MAX('詳細設定'!$D$9,0),MAX('詳細設定'!$D$11,0)))</x:f>
        <x:v>8.3</x:v>
      </x:c>
      <x:c r="O339" s="190" t="n">
        <x:f>K339*M339</x:f>
        <x:v>5980.718116168395</x:v>
      </x:c>
      <x:c r="P339" s="190" t="n">
        <x:f>L339*N339</x:f>
        <x:v>1984.2894542843037</x:v>
      </x:c>
      <x:c r="Q339" s="190" t="n">
        <x:f>O339+P339</x:f>
        <x:v>7965.007570452699</x:v>
      </x:c>
      <x:c r="R339" s="196" t="n">
        <x:f>J339-K339-L339</x:f>
        <x:v>0</x:v>
      </x:c>
    </x:row>
    <x:row r="340">
      <x:c r="A340" s="20" t="str">
        <x:v>標準</x:v>
      </x:c>
      <x:c r="B340" s="20" t="n">
        <x:v>8</x:v>
      </x:c>
      <x:c r="C340" s="20" t="n">
        <x:v>12</x:v>
      </x:c>
      <x:c r="D340" s="189" t="n">
        <x:v>1</x:v>
      </x:c>
      <x:c r="E340" s="189" t="n">
        <x:v>1</x:v>
      </x:c>
      <x:c r="F340" s="189" t="n">
        <x:f>MAX(MIN('詳細設定'!$D$15+0,1),0)</x:f>
        <x:v>0.4</x:v>
      </x:c>
      <x:c r="G340" s="563" t="n">
        <x:f>'_計算月次'!$J$16</x:f>
        <x:v>443.97248688000184</x:v>
      </x:c>
      <x:c r="H340" s="563" t="n">
        <x:f>'_計算月次'!$K$16</x:f>
        <x:v>405</x:v>
      </x:c>
      <x:c r="I340" s="563" t="n">
        <x:f>(1-MAX(MIN('詳細設定'!$D$16,0.999999),0))^(B340-1)</x:f>
        <x:v>1</x:v>
      </x:c>
      <x:c r="J340" s="563" t="n">
        <x:f>MAX(G340*D340*I340,0)</x:f>
        <x:v>443.97248688000184</x:v>
      </x:c>
      <x:c r="K340" s="563" t="n">
        <x:f>MAX(MIN(J340*F340,H340),0)</x:f>
        <x:v>177.58899475200076</x:v>
      </x:c>
      <x:c r="L340" s="563" t="n">
        <x:f>MAX(J340-K340,0)</x:f>
        <x:v>266.3834921280011</x:v>
      </x:c>
      <x:c r="M340" s="185" t="n">
        <x:f>MAX('詳細設定'!$D$6,0)*(1+'詳細設定'!$D$21)^(B340-1)</x:f>
        <x:v>37.52473732374535</x:v>
      </x:c>
      <x:c r="N340" s="185" t="n">
        <x:f>IF(B340&lt;=MAX(MIN('詳細設定'!$D$8,20),0),MAX('詳細設定'!$D$7,0),IF(B340&lt;=MAX(MIN('詳細設定'!$D$10,20),0),MAX('詳細設定'!$D$9,0),MAX('詳細設定'!$D$11,0)))</x:f>
        <x:v>8.3</x:v>
      </x:c>
      <x:c r="O340" s="190" t="n">
        <x:f>K340*M340</x:f>
        <x:v>6663.980379656819</x:v>
      </x:c>
      <x:c r="P340" s="190" t="n">
        <x:f>L340*N340</x:f>
        <x:v>2210.9829846624093</x:v>
      </x:c>
      <x:c r="Q340" s="190" t="n">
        <x:f>O340+P340</x:f>
        <x:v>8874.963364319228</x:v>
      </x:c>
      <x:c r="R340" s="196" t="n">
        <x:f>J340-K340-L340</x:f>
        <x:v>0</x:v>
      </x:c>
    </x:row>
    <x:row r="341">
      <x:c r="A341" s="20" t="str">
        <x:v>標準</x:v>
      </x:c>
      <x:c r="B341" s="20" t="n">
        <x:v>9</x:v>
      </x:c>
      <x:c r="C341" s="20" t="n">
        <x:v>1</x:v>
      </x:c>
      <x:c r="D341" s="189" t="n">
        <x:v>1</x:v>
      </x:c>
      <x:c r="E341" s="189" t="n">
        <x:v>1</x:v>
      </x:c>
      <x:c r="F341" s="189" t="n">
        <x:f>MAX(MIN('詳細設定'!$D$15+0,1),0)</x:f>
        <x:v>0.4</x:v>
      </x:c>
      <x:c r="G341" s="563" t="n">
        <x:f>'_計算月次'!$J$5</x:f>
        <x:v>502.4147595742038</x:v>
      </x:c>
      <x:c r="H341" s="563" t="n">
        <x:f>'_計算月次'!$K$5</x:f>
        <x:v>450</x:v>
      </x:c>
      <x:c r="I341" s="563" t="n">
        <x:f>(1-MAX(MIN('詳細設定'!$D$16,0.999999),0))^(B341-1)</x:f>
        <x:v>1</x:v>
      </x:c>
      <x:c r="J341" s="563" t="n">
        <x:f>MAX(G341*D341*I341,0)</x:f>
        <x:v>502.4147595742038</x:v>
      </x:c>
      <x:c r="K341" s="563" t="n">
        <x:f>MAX(MIN(J341*F341,H341),0)</x:f>
        <x:v>200.96590382968154</x:v>
      </x:c>
      <x:c r="L341" s="563" t="n">
        <x:f>MAX(J341-K341,0)</x:f>
        <x:v>301.44885574452223</x:v>
      </x:c>
      <x:c r="M341" s="185" t="n">
        <x:f>MAX('詳細設定'!$D$6,0)*(1+'詳細設定'!$D$21)^(B341-1)</x:f>
        <x:v>37.899984696982806</x:v>
      </x:c>
      <x:c r="N341" s="185" t="n">
        <x:f>IF(B341&lt;=MAX(MIN('詳細設定'!$D$8,20),0),MAX('詳細設定'!$D$7,0),IF(B341&lt;=MAX(MIN('詳細設定'!$D$10,20),0),MAX('詳細設定'!$D$9,0),MAX('詳細設定'!$D$11,0)))</x:f>
        <x:v>8.3</x:v>
      </x:c>
      <x:c r="O341" s="190" t="n">
        <x:f>K341*M341</x:f>
        <x:v>7616.6046797602485</x:v>
      </x:c>
      <x:c r="P341" s="190" t="n">
        <x:f>L341*N341</x:f>
        <x:v>2502.025502679535</x:v>
      </x:c>
      <x:c r="Q341" s="190" t="n">
        <x:f>O341+P341</x:f>
        <x:v>10118.630182439783</x:v>
      </x:c>
      <x:c r="R341" s="196" t="n">
        <x:f>J341-K341-L341</x:f>
        <x:v>0</x:v>
      </x:c>
    </x:row>
    <x:row r="342">
      <x:c r="A342" s="20" t="str">
        <x:v>標準</x:v>
      </x:c>
      <x:c r="B342" s="20" t="n">
        <x:v>9</x:v>
      </x:c>
      <x:c r="C342" s="20" t="n">
        <x:v>2</x:v>
      </x:c>
      <x:c r="D342" s="189" t="n">
        <x:v>1</x:v>
      </x:c>
      <x:c r="E342" s="189" t="n">
        <x:v>1</x:v>
      </x:c>
      <x:c r="F342" s="189" t="n">
        <x:f>MAX(MIN('詳細設定'!$D$15+0,1),0)</x:f>
        <x:v>0.4</x:v>
      </x:c>
      <x:c r="G342" s="563" t="n">
        <x:f>'_計算月次'!$J$6</x:f>
        <x:v>472.4508339500229</x:v>
      </x:c>
      <x:c r="H342" s="563" t="n">
        <x:f>'_計算月次'!$K$6</x:f>
        <x:v>405</x:v>
      </x:c>
      <x:c r="I342" s="563" t="n">
        <x:f>(1-MAX(MIN('詳細設定'!$D$16,0.999999),0))^(B342-1)</x:f>
        <x:v>1</x:v>
      </x:c>
      <x:c r="J342" s="563" t="n">
        <x:f>MAX(G342*D342*I342,0)</x:f>
        <x:v>472.4508339500229</x:v>
      </x:c>
      <x:c r="K342" s="563" t="n">
        <x:f>MAX(MIN(J342*F342,H342),0)</x:f>
        <x:v>188.9803335800092</x:v>
      </x:c>
      <x:c r="L342" s="563" t="n">
        <x:f>MAX(J342-K342,0)</x:f>
        <x:v>283.4705003700137</x:v>
      </x:c>
      <x:c r="M342" s="185" t="n">
        <x:f>MAX('詳細設定'!$D$6,0)*(1+'詳細設定'!$D$21)^(B342-1)</x:f>
        <x:v>37.899984696982806</x:v>
      </x:c>
      <x:c r="N342" s="185" t="n">
        <x:f>IF(B342&lt;=MAX(MIN('詳細設定'!$D$8,20),0),MAX('詳細設定'!$D$7,0),IF(B342&lt;=MAX(MIN('詳細設定'!$D$10,20),0),MAX('詳細設定'!$D$9,0),MAX('詳細設定'!$D$11,0)))</x:f>
        <x:v>8.3</x:v>
      </x:c>
      <x:c r="O342" s="190" t="n">
        <x:f>K342*M342</x:f>
        <x:v>7162.351750713054</x:v>
      </x:c>
      <x:c r="P342" s="190" t="n">
        <x:f>L342*N342</x:f>
        <x:v>2352.805153071114</x:v>
      </x:c>
      <x:c r="Q342" s="190" t="n">
        <x:f>O342+P342</x:f>
        <x:v>9515.156903784167</x:v>
      </x:c>
      <x:c r="R342" s="196" t="n">
        <x:f>J342-K342-L342</x:f>
        <x:v>0</x:v>
      </x:c>
    </x:row>
    <x:row r="343">
      <x:c r="A343" s="20" t="str">
        <x:v>標準</x:v>
      </x:c>
      <x:c r="B343" s="20" t="n">
        <x:v>9</x:v>
      </x:c>
      <x:c r="C343" s="20" t="n">
        <x:v>3</x:v>
      </x:c>
      <x:c r="D343" s="189" t="n">
        <x:v>1</x:v>
      </x:c>
      <x:c r="E343" s="189" t="n">
        <x:v>1</x:v>
      </x:c>
      <x:c r="F343" s="189" t="n">
        <x:f>MAX(MIN('詳細設定'!$D$15+0,1),0)</x:f>
        <x:v>0.4</x:v>
      </x:c>
      <x:c r="G343" s="563" t="n">
        <x:f>'_計算月次'!$J$7</x:f>
        <x:v>548.3418864753118</x:v>
      </x:c>
      <x:c r="H343" s="563" t="n">
        <x:f>'_計算月次'!$K$7</x:f>
        <x:v>360</x:v>
      </x:c>
      <x:c r="I343" s="563" t="n">
        <x:f>(1-MAX(MIN('詳細設定'!$D$16,0.999999),0))^(B343-1)</x:f>
        <x:v>1</x:v>
      </x:c>
      <x:c r="J343" s="563" t="n">
        <x:f>MAX(G343*D343*I343,0)</x:f>
        <x:v>548.3418864753118</x:v>
      </x:c>
      <x:c r="K343" s="563" t="n">
        <x:f>MAX(MIN(J343*F343,H343),0)</x:f>
        <x:v>219.3367545901247</x:v>
      </x:c>
      <x:c r="L343" s="563" t="n">
        <x:f>MAX(J343-K343,0)</x:f>
        <x:v>329.00513188518704</x:v>
      </x:c>
      <x:c r="M343" s="185" t="n">
        <x:f>MAX('詳細設定'!$D$6,0)*(1+'詳細設定'!$D$21)^(B343-1)</x:f>
        <x:v>37.899984696982806</x:v>
      </x:c>
      <x:c r="N343" s="185" t="n">
        <x:f>IF(B343&lt;=MAX(MIN('詳細設定'!$D$8,20),0),MAX('詳細設定'!$D$7,0),IF(B343&lt;=MAX(MIN('詳細設定'!$D$10,20),0),MAX('詳細設定'!$D$9,0),MAX('詳細設定'!$D$11,0)))</x:f>
        <x:v>8.3</x:v>
      </x:c>
      <x:c r="O343" s="190" t="n">
        <x:f>K343*M343</x:f>
        <x:v>8312.8596424516</x:v>
      </x:c>
      <x:c r="P343" s="190" t="n">
        <x:f>L343*N343</x:f>
        <x:v>2730.7425946470526</x:v>
      </x:c>
      <x:c r="Q343" s="190" t="n">
        <x:f>O343+P343</x:f>
        <x:v>11043.602237098652</x:v>
      </x:c>
      <x:c r="R343" s="196" t="n">
        <x:f>J343-K343-L343</x:f>
        <x:v>0</x:v>
      </x:c>
    </x:row>
    <x:row r="344">
      <x:c r="A344" s="20" t="str">
        <x:v>標準</x:v>
      </x:c>
      <x:c r="B344" s="20" t="n">
        <x:v>9</x:v>
      </x:c>
      <x:c r="C344" s="20" t="n">
        <x:v>4</x:v>
      </x:c>
      <x:c r="D344" s="189" t="n">
        <x:v>1</x:v>
      </x:c>
      <x:c r="E344" s="189" t="n">
        <x:v>1</x:v>
      </x:c>
      <x:c r="F344" s="189" t="n">
        <x:f>MAX(MIN('詳細設定'!$D$15+0,1),0)</x:f>
        <x:v>0.4</x:v>
      </x:c>
      <x:c r="G344" s="563" t="n">
        <x:f>'_計算月次'!$J$8</x:f>
        <x:v>548.3944393749554</x:v>
      </x:c>
      <x:c r="H344" s="563" t="n">
        <x:f>'_計算月次'!$K$8</x:f>
        <x:v>315.00000000000006</x:v>
      </x:c>
      <x:c r="I344" s="563" t="n">
        <x:f>(1-MAX(MIN('詳細設定'!$D$16,0.999999),0))^(B344-1)</x:f>
        <x:v>1</x:v>
      </x:c>
      <x:c r="J344" s="563" t="n">
        <x:f>MAX(G344*D344*I344,0)</x:f>
        <x:v>548.3944393749554</x:v>
      </x:c>
      <x:c r="K344" s="563" t="n">
        <x:f>MAX(MIN(J344*F344,H344),0)</x:f>
        <x:v>219.35777574998215</x:v>
      </x:c>
      <x:c r="L344" s="563" t="n">
        <x:f>MAX(J344-K344,0)</x:f>
        <x:v>329.03666362497324</x:v>
      </x:c>
      <x:c r="M344" s="185" t="n">
        <x:f>MAX('詳細設定'!$D$6,0)*(1+'詳細設定'!$D$21)^(B344-1)</x:f>
        <x:v>37.899984696982806</x:v>
      </x:c>
      <x:c r="N344" s="185" t="n">
        <x:f>IF(B344&lt;=MAX(MIN('詳細設定'!$D$8,20),0),MAX('詳細設定'!$D$7,0),IF(B344&lt;=MAX(MIN('詳細設定'!$D$10,20),0),MAX('詳細設定'!$D$9,0),MAX('詳細設定'!$D$11,0)))</x:f>
        <x:v>8.3</x:v>
      </x:c>
      <x:c r="O344" s="190" t="n">
        <x:f>K344*M344</x:f>
        <x:v>8313.65634408851</x:v>
      </x:c>
      <x:c r="P344" s="190" t="n">
        <x:f>L344*N344</x:f>
        <x:v>2731.0043080872783</x:v>
      </x:c>
      <x:c r="Q344" s="190" t="n">
        <x:f>O344+P344</x:f>
        <x:v>11044.660652175788</x:v>
      </x:c>
      <x:c r="R344" s="196" t="n">
        <x:f>J344-K344-L344</x:f>
        <x:v>0</x:v>
      </x:c>
    </x:row>
    <x:row r="345">
      <x:c r="A345" s="20" t="str">
        <x:v>標準</x:v>
      </x:c>
      <x:c r="B345" s="20" t="n">
        <x:v>9</x:v>
      </x:c>
      <x:c r="C345" s="20" t="n">
        <x:v>5</x:v>
      </x:c>
      <x:c r="D345" s="189" t="n">
        <x:v>1</x:v>
      </x:c>
      <x:c r="E345" s="189" t="n">
        <x:v>1</x:v>
      </x:c>
      <x:c r="F345" s="189" t="n">
        <x:f>MAX(MIN('詳細設定'!$D$15+0,1),0)</x:f>
        <x:v>0.4</x:v>
      </x:c>
      <x:c r="G345" s="563" t="n">
        <x:f>'_計算月次'!$J$9</x:f>
        <x:v>552.2367574934775</x:v>
      </x:c>
      <x:c r="H345" s="563" t="n">
        <x:f>'_計算月次'!$K$9</x:f>
        <x:v>315.00000000000006</x:v>
      </x:c>
      <x:c r="I345" s="563" t="n">
        <x:f>(1-MAX(MIN('詳細設定'!$D$16,0.999999),0))^(B345-1)</x:f>
        <x:v>1</x:v>
      </x:c>
      <x:c r="J345" s="563" t="n">
        <x:f>MAX(G345*D345*I345,0)</x:f>
        <x:v>552.2367574934775</x:v>
      </x:c>
      <x:c r="K345" s="563" t="n">
        <x:f>MAX(MIN(J345*F345,H345),0)</x:f>
        <x:v>220.89470299739102</x:v>
      </x:c>
      <x:c r="L345" s="563" t="n">
        <x:f>MAX(J345-K345,0)</x:f>
        <x:v>331.34205449608646</x:v>
      </x:c>
      <x:c r="M345" s="185" t="n">
        <x:f>MAX('詳細設定'!$D$6,0)*(1+'詳細設定'!$D$21)^(B345-1)</x:f>
        <x:v>37.899984696982806</x:v>
      </x:c>
      <x:c r="N345" s="185" t="n">
        <x:f>IF(B345&lt;=MAX(MIN('詳細設定'!$D$8,20),0),MAX('詳細設定'!$D$7,0),IF(B345&lt;=MAX(MIN('詳細設定'!$D$10,20),0),MAX('詳細設定'!$D$9,0),MAX('詳細設定'!$D$11,0)))</x:f>
        <x:v>8.3</x:v>
      </x:c>
      <x:c r="O345" s="190" t="n">
        <x:f>K345*M345</x:f>
        <x:v>8371.905863245682</x:v>
      </x:c>
      <x:c r="P345" s="190" t="n">
        <x:f>L345*N345</x:f>
        <x:v>2750.139052317518</x:v>
      </x:c>
      <x:c r="Q345" s="190" t="n">
        <x:f>O345+P345</x:f>
        <x:v>11122.0449155632</x:v>
      </x:c>
      <x:c r="R345" s="196" t="n">
        <x:f>J345-K345-L345</x:f>
        <x:v>0</x:v>
      </x:c>
    </x:row>
    <x:row r="346">
      <x:c r="A346" s="20" t="str">
        <x:v>標準</x:v>
      </x:c>
      <x:c r="B346" s="20" t="n">
        <x:v>9</x:v>
      </x:c>
      <x:c r="C346" s="20" t="n">
        <x:v>6</x:v>
      </x:c>
      <x:c r="D346" s="189" t="n">
        <x:v>1</x:v>
      </x:c>
      <x:c r="E346" s="189" t="n">
        <x:v>1</x:v>
      </x:c>
      <x:c r="F346" s="189" t="n">
        <x:f>MAX(MIN('詳細設定'!$D$15+0,1),0)</x:f>
        <x:v>0.4</x:v>
      </x:c>
      <x:c r="G346" s="563" t="n">
        <x:f>'_計算月次'!$J$10</x:f>
        <x:v>448.7994857612148</x:v>
      </x:c>
      <x:c r="H346" s="563" t="n">
        <x:f>'_計算月次'!$K$10</x:f>
        <x:v>360</x:v>
      </x:c>
      <x:c r="I346" s="563" t="n">
        <x:f>(1-MAX(MIN('詳細設定'!$D$16,0.999999),0))^(B346-1)</x:f>
        <x:v>1</x:v>
      </x:c>
      <x:c r="J346" s="563" t="n">
        <x:f>MAX(G346*D346*I346,0)</x:f>
        <x:v>448.7994857612148</x:v>
      </x:c>
      <x:c r="K346" s="563" t="n">
        <x:f>MAX(MIN(J346*F346,H346),0)</x:f>
        <x:v>179.5197943044859</x:v>
      </x:c>
      <x:c r="L346" s="563" t="n">
        <x:f>MAX(J346-K346,0)</x:f>
        <x:v>269.27969145672887</x:v>
      </x:c>
      <x:c r="M346" s="185" t="n">
        <x:f>MAX('詳細設定'!$D$6,0)*(1+'詳細設定'!$D$21)^(B346-1)</x:f>
        <x:v>37.899984696982806</x:v>
      </x:c>
      <x:c r="N346" s="185" t="n">
        <x:f>IF(B346&lt;=MAX(MIN('詳細設定'!$D$8,20),0),MAX('詳細設定'!$D$7,0),IF(B346&lt;=MAX(MIN('詳細設定'!$D$10,20),0),MAX('詳細設定'!$D$9,0),MAX('詳細設定'!$D$11,0)))</x:f>
        <x:v>8.3</x:v>
      </x:c>
      <x:c r="O346" s="190" t="n">
        <x:f>K346*M346</x:f>
        <x:v>6803.797456945517</x:v>
      </x:c>
      <x:c r="P346" s="190" t="n">
        <x:f>L346*N346</x:f>
        <x:v>2235.02143909085</x:v>
      </x:c>
      <x:c r="Q346" s="190" t="n">
        <x:f>O346+P346</x:f>
        <x:v>9038.818896036368</x:v>
      </x:c>
      <x:c r="R346" s="196" t="n">
        <x:f>J346-K346-L346</x:f>
        <x:v>0</x:v>
      </x:c>
    </x:row>
    <x:row r="347">
      <x:c r="A347" s="20" t="str">
        <x:v>標準</x:v>
      </x:c>
      <x:c r="B347" s="20" t="n">
        <x:v>9</x:v>
      </x:c>
      <x:c r="C347" s="20" t="n">
        <x:v>7</x:v>
      </x:c>
      <x:c r="D347" s="189" t="n">
        <x:v>1</x:v>
      </x:c>
      <x:c r="E347" s="189" t="n">
        <x:v>1</x:v>
      </x:c>
      <x:c r="F347" s="189" t="n">
        <x:f>MAX(MIN('詳細設定'!$D$15+0,1),0)</x:f>
        <x:v>0.4</x:v>
      </x:c>
      <x:c r="G347" s="563" t="n">
        <x:f>'_計算月次'!$J$11</x:f>
        <x:v>476.0181638067866</x:v>
      </x:c>
      <x:c r="H347" s="563" t="n">
        <x:f>'_計算月次'!$K$11</x:f>
        <x:v>405</x:v>
      </x:c>
      <x:c r="I347" s="563" t="n">
        <x:f>(1-MAX(MIN('詳細設定'!$D$16,0.999999),0))^(B347-1)</x:f>
        <x:v>1</x:v>
      </x:c>
      <x:c r="J347" s="563" t="n">
        <x:f>MAX(G347*D347*I347,0)</x:f>
        <x:v>476.0181638067866</x:v>
      </x:c>
      <x:c r="K347" s="563" t="n">
        <x:f>MAX(MIN(J347*F347,H347),0)</x:f>
        <x:v>190.40726552271465</x:v>
      </x:c>
      <x:c r="L347" s="563" t="n">
        <x:f>MAX(J347-K347,0)</x:f>
        <x:v>285.61089828407194</x:v>
      </x:c>
      <x:c r="M347" s="185" t="n">
        <x:f>MAX('詳細設定'!$D$6,0)*(1+'詳細設定'!$D$21)^(B347-1)</x:f>
        <x:v>37.899984696982806</x:v>
      </x:c>
      <x:c r="N347" s="185" t="n">
        <x:f>IF(B347&lt;=MAX(MIN('詳細設定'!$D$8,20),0),MAX('詳細設定'!$D$7,0),IF(B347&lt;=MAX(MIN('詳細設定'!$D$10,20),0),MAX('詳細設定'!$D$9,0),MAX('詳細設定'!$D$11,0)))</x:f>
        <x:v>8.3</x:v>
      </x:c>
      <x:c r="O347" s="190" t="n">
        <x:f>K347*M347</x:f>
        <x:v>7216.432449505227</x:v>
      </x:c>
      <x:c r="P347" s="190" t="n">
        <x:f>L347*N347</x:f>
        <x:v>2370.5704557577974</x:v>
      </x:c>
      <x:c r="Q347" s="190" t="n">
        <x:f>O347+P347</x:f>
        <x:v>9587.002905263023</x:v>
      </x:c>
      <x:c r="R347" s="196" t="n">
        <x:f>J347-K347-L347</x:f>
        <x:v>0</x:v>
      </x:c>
    </x:row>
    <x:row r="348">
      <x:c r="A348" s="20" t="str">
        <x:v>標準</x:v>
      </x:c>
      <x:c r="B348" s="20" t="n">
        <x:v>9</x:v>
      </x:c>
      <x:c r="C348" s="20" t="n">
        <x:v>8</x:v>
      </x:c>
      <x:c r="D348" s="189" t="n">
        <x:v>1</x:v>
      </x:c>
      <x:c r="E348" s="189" t="n">
        <x:v>1</x:v>
      </x:c>
      <x:c r="F348" s="189" t="n">
        <x:f>MAX(MIN('詳細設定'!$D$15+0,1),0)</x:f>
        <x:v>0.4</x:v>
      </x:c>
      <x:c r="G348" s="563" t="n">
        <x:f>'_計算月次'!$J$12</x:f>
        <x:v>528.6548067323699</x:v>
      </x:c>
      <x:c r="H348" s="563" t="n">
        <x:f>'_計算月次'!$K$12</x:f>
        <x:v>450</x:v>
      </x:c>
      <x:c r="I348" s="563" t="n">
        <x:f>(1-MAX(MIN('詳細設定'!$D$16,0.999999),0))^(B348-1)</x:f>
        <x:v>1</x:v>
      </x:c>
      <x:c r="J348" s="563" t="n">
        <x:f>MAX(G348*D348*I348,0)</x:f>
        <x:v>528.6548067323699</x:v>
      </x:c>
      <x:c r="K348" s="563" t="n">
        <x:f>MAX(MIN(J348*F348,H348),0)</x:f>
        <x:v>211.46192269294798</x:v>
      </x:c>
      <x:c r="L348" s="563" t="n">
        <x:f>MAX(J348-K348,0)</x:f>
        <x:v>317.192884039422</x:v>
      </x:c>
      <x:c r="M348" s="185" t="n">
        <x:f>MAX('詳細設定'!$D$6,0)*(1+'詳細設定'!$D$21)^(B348-1)</x:f>
        <x:v>37.899984696982806</x:v>
      </x:c>
      <x:c r="N348" s="185" t="n">
        <x:f>IF(B348&lt;=MAX(MIN('詳細設定'!$D$8,20),0),MAX('詳細設定'!$D$7,0),IF(B348&lt;=MAX(MIN('詳細設定'!$D$10,20),0),MAX('詳細設定'!$D$9,0),MAX('詳細設定'!$D$11,0)))</x:f>
        <x:v>8.3</x:v>
      </x:c>
      <x:c r="O348" s="190" t="n">
        <x:f>K348*M348</x:f>
        <x:v>8014.403634057289</x:v>
      </x:c>
      <x:c r="P348" s="190" t="n">
        <x:f>L348*N348</x:f>
        <x:v>2632.7009375272028</x:v>
      </x:c>
      <x:c r="Q348" s="190" t="n">
        <x:f>O348+P348</x:f>
        <x:v>10647.104571584492</x:v>
      </x:c>
      <x:c r="R348" s="196" t="n">
        <x:f>J348-K348-L348</x:f>
        <x:v>0</x:v>
      </x:c>
    </x:row>
    <x:row r="349">
      <x:c r="A349" s="20" t="str">
        <x:v>標準</x:v>
      </x:c>
      <x:c r="B349" s="20" t="n">
        <x:v>9</x:v>
      </x:c>
      <x:c r="C349" s="20" t="n">
        <x:v>9</x:v>
      </x:c>
      <x:c r="D349" s="189" t="n">
        <x:v>1</x:v>
      </x:c>
      <x:c r="E349" s="189" t="n">
        <x:v>1</x:v>
      </x:c>
      <x:c r="F349" s="189" t="n">
        <x:f>MAX(MIN('詳細設定'!$D$15+0,1),0)</x:f>
        <x:v>0.4</x:v>
      </x:c>
      <x:c r="G349" s="563" t="n">
        <x:f>'_計算月次'!$J$13</x:f>
        <x:v>436.37734765103465</x:v>
      </x:c>
      <x:c r="H349" s="563" t="n">
        <x:f>'_計算月次'!$K$13</x:f>
        <x:v>360</x:v>
      </x:c>
      <x:c r="I349" s="563" t="n">
        <x:f>(1-MAX(MIN('詳細設定'!$D$16,0.999999),0))^(B349-1)</x:f>
        <x:v>1</x:v>
      </x:c>
      <x:c r="J349" s="563" t="n">
        <x:f>MAX(G349*D349*I349,0)</x:f>
        <x:v>436.37734765103465</x:v>
      </x:c>
      <x:c r="K349" s="563" t="n">
        <x:f>MAX(MIN(J349*F349,H349),0)</x:f>
        <x:v>174.55093906041387</x:v>
      </x:c>
      <x:c r="L349" s="563" t="n">
        <x:f>MAX(J349-K349,0)</x:f>
        <x:v>261.82640859062076</x:v>
      </x:c>
      <x:c r="M349" s="185" t="n">
        <x:f>MAX('詳細設定'!$D$6,0)*(1+'詳細設定'!$D$21)^(B349-1)</x:f>
        <x:v>37.899984696982806</x:v>
      </x:c>
      <x:c r="N349" s="185" t="n">
        <x:f>IF(B349&lt;=MAX(MIN('詳細設定'!$D$8,20),0),MAX('詳細設定'!$D$7,0),IF(B349&lt;=MAX(MIN('詳細設定'!$D$10,20),0),MAX('詳細設定'!$D$9,0),MAX('詳細設定'!$D$11,0)))</x:f>
        <x:v>8.3</x:v>
      </x:c>
      <x:c r="O349" s="190" t="n">
        <x:f>K349*M349</x:f>
        <x:v>6615.477919233664</x:v>
      </x:c>
      <x:c r="P349" s="190" t="n">
        <x:f>L349*N349</x:f>
        <x:v>2173.1591913021525</x:v>
      </x:c>
      <x:c r="Q349" s="190" t="n">
        <x:f>O349+P349</x:f>
        <x:v>8788.637110535816</x:v>
      </x:c>
      <x:c r="R349" s="196" t="n">
        <x:f>J349-K349-L349</x:f>
        <x:v>0</x:v>
      </x:c>
    </x:row>
    <x:row r="350">
      <x:c r="A350" s="20" t="str">
        <x:v>標準</x:v>
      </x:c>
      <x:c r="B350" s="20" t="n">
        <x:v>9</x:v>
      </x:c>
      <x:c r="C350" s="20" t="n">
        <x:v>10</x:v>
      </x:c>
      <x:c r="D350" s="189" t="n">
        <x:v>1</x:v>
      </x:c>
      <x:c r="E350" s="189" t="n">
        <x:v>1</x:v>
      </x:c>
      <x:c r="F350" s="189" t="n">
        <x:f>MAX(MIN('詳細設定'!$D$15+0,1),0)</x:f>
        <x:v>0.4</x:v>
      </x:c>
      <x:c r="G350" s="563" t="n">
        <x:f>'_計算月次'!$J$14</x:f>
        <x:v>408.8269849869007</x:v>
      </x:c>
      <x:c r="H350" s="563" t="n">
        <x:f>'_計算月次'!$K$14</x:f>
        <x:v>315.00000000000006</x:v>
      </x:c>
      <x:c r="I350" s="563" t="n">
        <x:f>(1-MAX(MIN('詳細設定'!$D$16,0.999999),0))^(B350-1)</x:f>
        <x:v>1</x:v>
      </x:c>
      <x:c r="J350" s="563" t="n">
        <x:f>MAX(G350*D350*I350,0)</x:f>
        <x:v>408.8269849869007</x:v>
      </x:c>
      <x:c r="K350" s="563" t="n">
        <x:f>MAX(MIN(J350*F350,H350),0)</x:f>
        <x:v>163.5307939947603</x:v>
      </x:c>
      <x:c r="L350" s="563" t="n">
        <x:f>MAX(J350-K350,0)</x:f>
        <x:v>245.2961909921404</x:v>
      </x:c>
      <x:c r="M350" s="185" t="n">
        <x:f>MAX('詳細設定'!$D$6,0)*(1+'詳細設定'!$D$21)^(B350-1)</x:f>
        <x:v>37.899984696982806</x:v>
      </x:c>
      <x:c r="N350" s="185" t="n">
        <x:f>IF(B350&lt;=MAX(MIN('詳細設定'!$D$8,20),0),MAX('詳細設定'!$D$7,0),IF(B350&lt;=MAX(MIN('詳細設定'!$D$10,20),0),MAX('詳細設定'!$D$9,0),MAX('詳細設定'!$D$11,0)))</x:f>
        <x:v>8.3</x:v>
      </x:c>
      <x:c r="O350" s="190" t="n">
        <x:f>K350*M350</x:f>
        <x:v>6197.814589886863</x:v>
      </x:c>
      <x:c r="P350" s="190" t="n">
        <x:f>L350*N350</x:f>
        <x:v>2035.9583852347655</x:v>
      </x:c>
      <x:c r="Q350" s="190" t="n">
        <x:f>O350+P350</x:f>
        <x:v>8233.772975121628</x:v>
      </x:c>
      <x:c r="R350" s="196" t="n">
        <x:f>J350-K350-L350</x:f>
        <x:v>0</x:v>
      </x:c>
    </x:row>
    <x:row r="351">
      <x:c r="A351" s="20" t="str">
        <x:v>標準</x:v>
      </x:c>
      <x:c r="B351" s="20" t="n">
        <x:v>9</x:v>
      </x:c>
      <x:c r="C351" s="20" t="n">
        <x:v>11</x:v>
      </x:c>
      <x:c r="D351" s="189" t="n">
        <x:v>1</x:v>
      </x:c>
      <x:c r="E351" s="189" t="n">
        <x:v>1</x:v>
      </x:c>
      <x:c r="F351" s="189" t="n">
        <x:f>MAX(MIN('詳細設定'!$D$15+0,1),0)</x:f>
        <x:v>0.4</x:v>
      </x:c>
      <x:c r="G351" s="563" t="n">
        <x:f>'_計算月次'!$J$15</x:f>
        <x:v>398.45169764745054</x:v>
      </x:c>
      <x:c r="H351" s="563" t="n">
        <x:f>'_計算月次'!$K$15</x:f>
        <x:v>360</x:v>
      </x:c>
      <x:c r="I351" s="563" t="n">
        <x:f>(1-MAX(MIN('詳細設定'!$D$16,0.999999),0))^(B351-1)</x:f>
        <x:v>1</x:v>
      </x:c>
      <x:c r="J351" s="563" t="n">
        <x:f>MAX(G351*D351*I351,0)</x:f>
        <x:v>398.45169764745054</x:v>
      </x:c>
      <x:c r="K351" s="563" t="n">
        <x:f>MAX(MIN(J351*F351,H351),0)</x:f>
        <x:v>159.38067905898023</x:v>
      </x:c>
      <x:c r="L351" s="563" t="n">
        <x:f>MAX(J351-K351,0)</x:f>
        <x:v>239.0710185884703</x:v>
      </x:c>
      <x:c r="M351" s="185" t="n">
        <x:f>MAX('詳細設定'!$D$6,0)*(1+'詳細設定'!$D$21)^(B351-1)</x:f>
        <x:v>37.899984696982806</x:v>
      </x:c>
      <x:c r="N351" s="185" t="n">
        <x:f>IF(B351&lt;=MAX(MIN('詳細設定'!$D$8,20),0),MAX('詳細設定'!$D$7,0),IF(B351&lt;=MAX(MIN('詳細設定'!$D$10,20),0),MAX('詳細設定'!$D$9,0),MAX('詳細設定'!$D$11,0)))</x:f>
        <x:v>8.3</x:v>
      </x:c>
      <x:c r="O351" s="190" t="n">
        <x:f>K351*M351</x:f>
        <x:v>6040.5252973300785</x:v>
      </x:c>
      <x:c r="P351" s="190" t="n">
        <x:f>L351*N351</x:f>
        <x:v>1984.2894542843037</x:v>
      </x:c>
      <x:c r="Q351" s="190" t="n">
        <x:f>O351+P351</x:f>
        <x:v>8024.814751614382</x:v>
      </x:c>
      <x:c r="R351" s="196" t="n">
        <x:f>J351-K351-L351</x:f>
        <x:v>0</x:v>
      </x:c>
    </x:row>
    <x:row r="352">
      <x:c r="A352" s="20" t="str">
        <x:v>標準</x:v>
      </x:c>
      <x:c r="B352" s="20" t="n">
        <x:v>9</x:v>
      </x:c>
      <x:c r="C352" s="20" t="n">
        <x:v>12</x:v>
      </x:c>
      <x:c r="D352" s="189" t="n">
        <x:v>1</x:v>
      </x:c>
      <x:c r="E352" s="189" t="n">
        <x:v>1</x:v>
      </x:c>
      <x:c r="F352" s="189" t="n">
        <x:f>MAX(MIN('詳細設定'!$D$15+0,1),0)</x:f>
        <x:v>0.4</x:v>
      </x:c>
      <x:c r="G352" s="563" t="n">
        <x:f>'_計算月次'!$J$16</x:f>
        <x:v>443.97248688000184</x:v>
      </x:c>
      <x:c r="H352" s="563" t="n">
        <x:f>'_計算月次'!$K$16</x:f>
        <x:v>405</x:v>
      </x:c>
      <x:c r="I352" s="563" t="n">
        <x:f>(1-MAX(MIN('詳細設定'!$D$16,0.999999),0))^(B352-1)</x:f>
        <x:v>1</x:v>
      </x:c>
      <x:c r="J352" s="563" t="n">
        <x:f>MAX(G352*D352*I352,0)</x:f>
        <x:v>443.97248688000184</x:v>
      </x:c>
      <x:c r="K352" s="563" t="n">
        <x:f>MAX(MIN(J352*F352,H352),0)</x:f>
        <x:v>177.58899475200076</x:v>
      </x:c>
      <x:c r="L352" s="563" t="n">
        <x:f>MAX(J352-K352,0)</x:f>
        <x:v>266.3834921280011</x:v>
      </x:c>
      <x:c r="M352" s="185" t="n">
        <x:f>MAX('詳細設定'!$D$6,0)*(1+'詳細設定'!$D$21)^(B352-1)</x:f>
        <x:v>37.899984696982806</x:v>
      </x:c>
      <x:c r="N352" s="185" t="n">
        <x:f>IF(B352&lt;=MAX(MIN('詳細設定'!$D$8,20),0),MAX('詳細設定'!$D$7,0),IF(B352&lt;=MAX(MIN('詳細設定'!$D$10,20),0),MAX('詳細設定'!$D$9,0),MAX('詳細設定'!$D$11,0)))</x:f>
        <x:v>8.3</x:v>
      </x:c>
      <x:c r="O352" s="190" t="n">
        <x:f>K352*M352</x:f>
        <x:v>6730.620183453389</x:v>
      </x:c>
      <x:c r="P352" s="190" t="n">
        <x:f>L352*N352</x:f>
        <x:v>2210.9829846624093</x:v>
      </x:c>
      <x:c r="Q352" s="190" t="n">
        <x:f>O352+P352</x:f>
        <x:v>8941.603168115798</x:v>
      </x:c>
      <x:c r="R352" s="196" t="n">
        <x:f>J352-K352-L352</x:f>
        <x:v>0</x:v>
      </x:c>
    </x:row>
    <x:row r="353">
      <x:c r="A353" s="20" t="str">
        <x:v>標準</x:v>
      </x:c>
      <x:c r="B353" s="20" t="n">
        <x:v>10</x:v>
      </x:c>
      <x:c r="C353" s="20" t="n">
        <x:v>1</x:v>
      </x:c>
      <x:c r="D353" s="189" t="n">
        <x:v>1</x:v>
      </x:c>
      <x:c r="E353" s="189" t="n">
        <x:v>1</x:v>
      </x:c>
      <x:c r="F353" s="189" t="n">
        <x:f>MAX(MIN('詳細設定'!$D$15+0,1),0)</x:f>
        <x:v>0.4</x:v>
      </x:c>
      <x:c r="G353" s="563" t="n">
        <x:f>'_計算月次'!$J$5</x:f>
        <x:v>502.4147595742038</x:v>
      </x:c>
      <x:c r="H353" s="563" t="n">
        <x:f>'_計算月次'!$K$5</x:f>
        <x:v>450</x:v>
      </x:c>
      <x:c r="I353" s="563" t="n">
        <x:f>(1-MAX(MIN('詳細設定'!$D$16,0.999999),0))^(B353-1)</x:f>
        <x:v>1</x:v>
      </x:c>
      <x:c r="J353" s="563" t="n">
        <x:f>MAX(G353*D353*I353,0)</x:f>
        <x:v>502.4147595742038</x:v>
      </x:c>
      <x:c r="K353" s="563" t="n">
        <x:f>MAX(MIN(J353*F353,H353),0)</x:f>
        <x:v>200.96590382968154</x:v>
      </x:c>
      <x:c r="L353" s="563" t="n">
        <x:f>MAX(J353-K353,0)</x:f>
        <x:v>301.44885574452223</x:v>
      </x:c>
      <x:c r="M353" s="185" t="n">
        <x:f>MAX('詳細設定'!$D$6,0)*(1+'詳細設定'!$D$21)^(B353-1)</x:f>
        <x:v>38.27898454395263</x:v>
      </x:c>
      <x:c r="N353" s="185" t="n">
        <x:f>IF(B353&lt;=MAX(MIN('詳細設定'!$D$8,20),0),MAX('詳細設定'!$D$7,0),IF(B353&lt;=MAX(MIN('詳細設定'!$D$10,20),0),MAX('詳細設定'!$D$9,0),MAX('詳細設定'!$D$11,0)))</x:f>
        <x:v>8.3</x:v>
      </x:c>
      <x:c r="O353" s="190" t="n">
        <x:f>K353*M353</x:f>
        <x:v>7692.77072655785</x:v>
      </x:c>
      <x:c r="P353" s="190" t="n">
        <x:f>L353*N353</x:f>
        <x:v>2502.025502679535</x:v>
      </x:c>
      <x:c r="Q353" s="190" t="n">
        <x:f>O353+P353</x:f>
        <x:v>10194.796229237385</x:v>
      </x:c>
      <x:c r="R353" s="196" t="n">
        <x:f>J353-K353-L353</x:f>
        <x:v>0</x:v>
      </x:c>
    </x:row>
    <x:row r="354">
      <x:c r="A354" s="20" t="str">
        <x:v>標準</x:v>
      </x:c>
      <x:c r="B354" s="20" t="n">
        <x:v>10</x:v>
      </x:c>
      <x:c r="C354" s="20" t="n">
        <x:v>2</x:v>
      </x:c>
      <x:c r="D354" s="189" t="n">
        <x:v>1</x:v>
      </x:c>
      <x:c r="E354" s="189" t="n">
        <x:v>1</x:v>
      </x:c>
      <x:c r="F354" s="189" t="n">
        <x:f>MAX(MIN('詳細設定'!$D$15+0,1),0)</x:f>
        <x:v>0.4</x:v>
      </x:c>
      <x:c r="G354" s="563" t="n">
        <x:f>'_計算月次'!$J$6</x:f>
        <x:v>472.4508339500229</x:v>
      </x:c>
      <x:c r="H354" s="563" t="n">
        <x:f>'_計算月次'!$K$6</x:f>
        <x:v>405</x:v>
      </x:c>
      <x:c r="I354" s="563" t="n">
        <x:f>(1-MAX(MIN('詳細設定'!$D$16,0.999999),0))^(B354-1)</x:f>
        <x:v>1</x:v>
      </x:c>
      <x:c r="J354" s="563" t="n">
        <x:f>MAX(G354*D354*I354,0)</x:f>
        <x:v>472.4508339500229</x:v>
      </x:c>
      <x:c r="K354" s="563" t="n">
        <x:f>MAX(MIN(J354*F354,H354),0)</x:f>
        <x:v>188.9803335800092</x:v>
      </x:c>
      <x:c r="L354" s="563" t="n">
        <x:f>MAX(J354-K354,0)</x:f>
        <x:v>283.4705003700137</x:v>
      </x:c>
      <x:c r="M354" s="185" t="n">
        <x:f>MAX('詳細設定'!$D$6,0)*(1+'詳細設定'!$D$21)^(B354-1)</x:f>
        <x:v>38.27898454395263</x:v>
      </x:c>
      <x:c r="N354" s="185" t="n">
        <x:f>IF(B354&lt;=MAX(MIN('詳細設定'!$D$8,20),0),MAX('詳細設定'!$D$7,0),IF(B354&lt;=MAX(MIN('詳細設定'!$D$10,20),0),MAX('詳細設定'!$D$9,0),MAX('詳細設定'!$D$11,0)))</x:f>
        <x:v>8.3</x:v>
      </x:c>
      <x:c r="O354" s="190" t="n">
        <x:f>K354*M354</x:f>
        <x:v>7233.975268220184</x:v>
      </x:c>
      <x:c r="P354" s="190" t="n">
        <x:f>L354*N354</x:f>
        <x:v>2352.805153071114</x:v>
      </x:c>
      <x:c r="Q354" s="190" t="n">
        <x:f>O354+P354</x:f>
        <x:v>9586.780421291298</x:v>
      </x:c>
      <x:c r="R354" s="196" t="n">
        <x:f>J354-K354-L354</x:f>
        <x:v>0</x:v>
      </x:c>
    </x:row>
    <x:row r="355">
      <x:c r="A355" s="20" t="str">
        <x:v>標準</x:v>
      </x:c>
      <x:c r="B355" s="20" t="n">
        <x:v>10</x:v>
      </x:c>
      <x:c r="C355" s="20" t="n">
        <x:v>3</x:v>
      </x:c>
      <x:c r="D355" s="189" t="n">
        <x:v>1</x:v>
      </x:c>
      <x:c r="E355" s="189" t="n">
        <x:v>1</x:v>
      </x:c>
      <x:c r="F355" s="189" t="n">
        <x:f>MAX(MIN('詳細設定'!$D$15+0,1),0)</x:f>
        <x:v>0.4</x:v>
      </x:c>
      <x:c r="G355" s="563" t="n">
        <x:f>'_計算月次'!$J$7</x:f>
        <x:v>548.3418864753118</x:v>
      </x:c>
      <x:c r="H355" s="563" t="n">
        <x:f>'_計算月次'!$K$7</x:f>
        <x:v>360</x:v>
      </x:c>
      <x:c r="I355" s="563" t="n">
        <x:f>(1-MAX(MIN('詳細設定'!$D$16,0.999999),0))^(B355-1)</x:f>
        <x:v>1</x:v>
      </x:c>
      <x:c r="J355" s="563" t="n">
        <x:f>MAX(G355*D355*I355,0)</x:f>
        <x:v>548.3418864753118</x:v>
      </x:c>
      <x:c r="K355" s="563" t="n">
        <x:f>MAX(MIN(J355*F355,H355),0)</x:f>
        <x:v>219.3367545901247</x:v>
      </x:c>
      <x:c r="L355" s="563" t="n">
        <x:f>MAX(J355-K355,0)</x:f>
        <x:v>329.00513188518704</x:v>
      </x:c>
      <x:c r="M355" s="185" t="n">
        <x:f>MAX('詳細設定'!$D$6,0)*(1+'詳細設定'!$D$21)^(B355-1)</x:f>
        <x:v>38.27898454395263</x:v>
      </x:c>
      <x:c r="N355" s="185" t="n">
        <x:f>IF(B355&lt;=MAX(MIN('詳細設定'!$D$8,20),0),MAX('詳細設定'!$D$7,0),IF(B355&lt;=MAX(MIN('詳細設定'!$D$10,20),0),MAX('詳細設定'!$D$9,0),MAX('詳細設定'!$D$11,0)))</x:f>
        <x:v>8.3</x:v>
      </x:c>
      <x:c r="O355" s="190" t="n">
        <x:f>K355*M355</x:f>
        <x:v>8395.988238876116</x:v>
      </x:c>
      <x:c r="P355" s="190" t="n">
        <x:f>L355*N355</x:f>
        <x:v>2730.7425946470526</x:v>
      </x:c>
      <x:c r="Q355" s="190" t="n">
        <x:f>O355+P355</x:f>
        <x:v>11126.730833523168</x:v>
      </x:c>
      <x:c r="R355" s="196" t="n">
        <x:f>J355-K355-L355</x:f>
        <x:v>0</x:v>
      </x:c>
    </x:row>
    <x:row r="356">
      <x:c r="A356" s="20" t="str">
        <x:v>標準</x:v>
      </x:c>
      <x:c r="B356" s="20" t="n">
        <x:v>10</x:v>
      </x:c>
      <x:c r="C356" s="20" t="n">
        <x:v>4</x:v>
      </x:c>
      <x:c r="D356" s="189" t="n">
        <x:v>1</x:v>
      </x:c>
      <x:c r="E356" s="189" t="n">
        <x:v>1</x:v>
      </x:c>
      <x:c r="F356" s="189" t="n">
        <x:f>MAX(MIN('詳細設定'!$D$15+0,1),0)</x:f>
        <x:v>0.4</x:v>
      </x:c>
      <x:c r="G356" s="563" t="n">
        <x:f>'_計算月次'!$J$8</x:f>
        <x:v>548.3944393749554</x:v>
      </x:c>
      <x:c r="H356" s="563" t="n">
        <x:f>'_計算月次'!$K$8</x:f>
        <x:v>315.00000000000006</x:v>
      </x:c>
      <x:c r="I356" s="563" t="n">
        <x:f>(1-MAX(MIN('詳細設定'!$D$16,0.999999),0))^(B356-1)</x:f>
        <x:v>1</x:v>
      </x:c>
      <x:c r="J356" s="563" t="n">
        <x:f>MAX(G356*D356*I356,0)</x:f>
        <x:v>548.3944393749554</x:v>
      </x:c>
      <x:c r="K356" s="563" t="n">
        <x:f>MAX(MIN(J356*F356,H356),0)</x:f>
        <x:v>219.35777574998215</x:v>
      </x:c>
      <x:c r="L356" s="563" t="n">
        <x:f>MAX(J356-K356,0)</x:f>
        <x:v>329.03666362497324</x:v>
      </x:c>
      <x:c r="M356" s="185" t="n">
        <x:f>MAX('詳細設定'!$D$6,0)*(1+'詳細設定'!$D$21)^(B356-1)</x:f>
        <x:v>38.27898454395263</x:v>
      </x:c>
      <x:c r="N356" s="185" t="n">
        <x:f>IF(B356&lt;=MAX(MIN('詳細設定'!$D$8,20),0),MAX('詳細設定'!$D$7,0),IF(B356&lt;=MAX(MIN('詳細設定'!$D$10,20),0),MAX('詳細設定'!$D$9,0),MAX('詳細設定'!$D$11,0)))</x:f>
        <x:v>8.3</x:v>
      </x:c>
      <x:c r="O356" s="190" t="n">
        <x:f>K356*M356</x:f>
        <x:v>8396.792907529394</x:v>
      </x:c>
      <x:c r="P356" s="190" t="n">
        <x:f>L356*N356</x:f>
        <x:v>2731.0043080872783</x:v>
      </x:c>
      <x:c r="Q356" s="190" t="n">
        <x:f>O356+P356</x:f>
        <x:v>11127.797215616672</x:v>
      </x:c>
      <x:c r="R356" s="196" t="n">
        <x:f>J356-K356-L356</x:f>
        <x:v>0</x:v>
      </x:c>
    </x:row>
    <x:row r="357">
      <x:c r="A357" s="20" t="str">
        <x:v>標準</x:v>
      </x:c>
      <x:c r="B357" s="20" t="n">
        <x:v>10</x:v>
      </x:c>
      <x:c r="C357" s="20" t="n">
        <x:v>5</x:v>
      </x:c>
      <x:c r="D357" s="189" t="n">
        <x:v>1</x:v>
      </x:c>
      <x:c r="E357" s="189" t="n">
        <x:v>1</x:v>
      </x:c>
      <x:c r="F357" s="189" t="n">
        <x:f>MAX(MIN('詳細設定'!$D$15+0,1),0)</x:f>
        <x:v>0.4</x:v>
      </x:c>
      <x:c r="G357" s="563" t="n">
        <x:f>'_計算月次'!$J$9</x:f>
        <x:v>552.2367574934775</x:v>
      </x:c>
      <x:c r="H357" s="563" t="n">
        <x:f>'_計算月次'!$K$9</x:f>
        <x:v>315.00000000000006</x:v>
      </x:c>
      <x:c r="I357" s="563" t="n">
        <x:f>(1-MAX(MIN('詳細設定'!$D$16,0.999999),0))^(B357-1)</x:f>
        <x:v>1</x:v>
      </x:c>
      <x:c r="J357" s="563" t="n">
        <x:f>MAX(G357*D357*I357,0)</x:f>
        <x:v>552.2367574934775</x:v>
      </x:c>
      <x:c r="K357" s="563" t="n">
        <x:f>MAX(MIN(J357*F357,H357),0)</x:f>
        <x:v>220.89470299739102</x:v>
      </x:c>
      <x:c r="L357" s="563" t="n">
        <x:f>MAX(J357-K357,0)</x:f>
        <x:v>331.34205449608646</x:v>
      </x:c>
      <x:c r="M357" s="185" t="n">
        <x:f>MAX('詳細設定'!$D$6,0)*(1+'詳細設定'!$D$21)^(B357-1)</x:f>
        <x:v>38.27898454395263</x:v>
      </x:c>
      <x:c r="N357" s="185" t="n">
        <x:f>IF(B357&lt;=MAX(MIN('詳細設定'!$D$8,20),0),MAX('詳細設定'!$D$7,0),IF(B357&lt;=MAX(MIN('詳細設定'!$D$10,20),0),MAX('詳細設定'!$D$9,0),MAX('詳細設定'!$D$11,0)))</x:f>
        <x:v>8.3</x:v>
      </x:c>
      <x:c r="O357" s="190" t="n">
        <x:f>K357*M357</x:f>
        <x:v>8455.624921878138</x:v>
      </x:c>
      <x:c r="P357" s="190" t="n">
        <x:f>L357*N357</x:f>
        <x:v>2750.139052317518</x:v>
      </x:c>
      <x:c r="Q357" s="190" t="n">
        <x:f>O357+P357</x:f>
        <x:v>11205.763974195655</x:v>
      </x:c>
      <x:c r="R357" s="196" t="n">
        <x:f>J357-K357-L357</x:f>
        <x:v>0</x:v>
      </x:c>
    </x:row>
    <x:row r="358">
      <x:c r="A358" s="20" t="str">
        <x:v>標準</x:v>
      </x:c>
      <x:c r="B358" s="20" t="n">
        <x:v>10</x:v>
      </x:c>
      <x:c r="C358" s="20" t="n">
        <x:v>6</x:v>
      </x:c>
      <x:c r="D358" s="189" t="n">
        <x:v>1</x:v>
      </x:c>
      <x:c r="E358" s="189" t="n">
        <x:v>1</x:v>
      </x:c>
      <x:c r="F358" s="189" t="n">
        <x:f>MAX(MIN('詳細設定'!$D$15+0,1),0)</x:f>
        <x:v>0.4</x:v>
      </x:c>
      <x:c r="G358" s="563" t="n">
        <x:f>'_計算月次'!$J$10</x:f>
        <x:v>448.7994857612148</x:v>
      </x:c>
      <x:c r="H358" s="563" t="n">
        <x:f>'_計算月次'!$K$10</x:f>
        <x:v>360</x:v>
      </x:c>
      <x:c r="I358" s="563" t="n">
        <x:f>(1-MAX(MIN('詳細設定'!$D$16,0.999999),0))^(B358-1)</x:f>
        <x:v>1</x:v>
      </x:c>
      <x:c r="J358" s="563" t="n">
        <x:f>MAX(G358*D358*I358,0)</x:f>
        <x:v>448.7994857612148</x:v>
      </x:c>
      <x:c r="K358" s="563" t="n">
        <x:f>MAX(MIN(J358*F358,H358),0)</x:f>
        <x:v>179.5197943044859</x:v>
      </x:c>
      <x:c r="L358" s="563" t="n">
        <x:f>MAX(J358-K358,0)</x:f>
        <x:v>269.27969145672887</x:v>
      </x:c>
      <x:c r="M358" s="185" t="n">
        <x:f>MAX('詳細設定'!$D$6,0)*(1+'詳細設定'!$D$21)^(B358-1)</x:f>
        <x:v>38.27898454395263</x:v>
      </x:c>
      <x:c r="N358" s="185" t="n">
        <x:f>IF(B358&lt;=MAX(MIN('詳細設定'!$D$8,20),0),MAX('詳細設定'!$D$7,0),IF(B358&lt;=MAX(MIN('詳細設定'!$D$10,20),0),MAX('詳細設定'!$D$9,0),MAX('詳細設定'!$D$11,0)))</x:f>
        <x:v>8.3</x:v>
      </x:c>
      <x:c r="O358" s="190" t="n">
        <x:f>K358*M358</x:f>
        <x:v>6871.835431514972</x:v>
      </x:c>
      <x:c r="P358" s="190" t="n">
        <x:f>L358*N358</x:f>
        <x:v>2235.02143909085</x:v>
      </x:c>
      <x:c r="Q358" s="190" t="n">
        <x:f>O358+P358</x:f>
        <x:v>9106.856870605821</x:v>
      </x:c>
      <x:c r="R358" s="196" t="n">
        <x:f>J358-K358-L358</x:f>
        <x:v>0</x:v>
      </x:c>
    </x:row>
    <x:row r="359">
      <x:c r="A359" s="20" t="str">
        <x:v>標準</x:v>
      </x:c>
      <x:c r="B359" s="20" t="n">
        <x:v>10</x:v>
      </x:c>
      <x:c r="C359" s="20" t="n">
        <x:v>7</x:v>
      </x:c>
      <x:c r="D359" s="189" t="n">
        <x:v>1</x:v>
      </x:c>
      <x:c r="E359" s="189" t="n">
        <x:v>1</x:v>
      </x:c>
      <x:c r="F359" s="189" t="n">
        <x:f>MAX(MIN('詳細設定'!$D$15+0,1),0)</x:f>
        <x:v>0.4</x:v>
      </x:c>
      <x:c r="G359" s="563" t="n">
        <x:f>'_計算月次'!$J$11</x:f>
        <x:v>476.0181638067866</x:v>
      </x:c>
      <x:c r="H359" s="563" t="n">
        <x:f>'_計算月次'!$K$11</x:f>
        <x:v>405</x:v>
      </x:c>
      <x:c r="I359" s="563" t="n">
        <x:f>(1-MAX(MIN('詳細設定'!$D$16,0.999999),0))^(B359-1)</x:f>
        <x:v>1</x:v>
      </x:c>
      <x:c r="J359" s="563" t="n">
        <x:f>MAX(G359*D359*I359,0)</x:f>
        <x:v>476.0181638067866</x:v>
      </x:c>
      <x:c r="K359" s="563" t="n">
        <x:f>MAX(MIN(J359*F359,H359),0)</x:f>
        <x:v>190.40726552271465</x:v>
      </x:c>
      <x:c r="L359" s="563" t="n">
        <x:f>MAX(J359-K359,0)</x:f>
        <x:v>285.61089828407194</x:v>
      </x:c>
      <x:c r="M359" s="185" t="n">
        <x:f>MAX('詳細設定'!$D$6,0)*(1+'詳細設定'!$D$21)^(B359-1)</x:f>
        <x:v>38.27898454395263</x:v>
      </x:c>
      <x:c r="N359" s="185" t="n">
        <x:f>IF(B359&lt;=MAX(MIN('詳細設定'!$D$8,20),0),MAX('詳細設定'!$D$7,0),IF(B359&lt;=MAX(MIN('詳細設定'!$D$10,20),0),MAX('詳細設定'!$D$9,0),MAX('詳細設定'!$D$11,0)))</x:f>
        <x:v>8.3</x:v>
      </x:c>
      <x:c r="O359" s="190" t="n">
        <x:f>K359*M359</x:f>
        <x:v>7288.596774000279</x:v>
      </x:c>
      <x:c r="P359" s="190" t="n">
        <x:f>L359*N359</x:f>
        <x:v>2370.5704557577974</x:v>
      </x:c>
      <x:c r="Q359" s="190" t="n">
        <x:f>O359+P359</x:f>
        <x:v>9659.167229758077</x:v>
      </x:c>
      <x:c r="R359" s="196" t="n">
        <x:f>J359-K359-L359</x:f>
        <x:v>0</x:v>
      </x:c>
    </x:row>
    <x:row r="360">
      <x:c r="A360" s="20" t="str">
        <x:v>標準</x:v>
      </x:c>
      <x:c r="B360" s="20" t="n">
        <x:v>10</x:v>
      </x:c>
      <x:c r="C360" s="20" t="n">
        <x:v>8</x:v>
      </x:c>
      <x:c r="D360" s="189" t="n">
        <x:v>1</x:v>
      </x:c>
      <x:c r="E360" s="189" t="n">
        <x:v>1</x:v>
      </x:c>
      <x:c r="F360" s="189" t="n">
        <x:f>MAX(MIN('詳細設定'!$D$15+0,1),0)</x:f>
        <x:v>0.4</x:v>
      </x:c>
      <x:c r="G360" s="563" t="n">
        <x:f>'_計算月次'!$J$12</x:f>
        <x:v>528.6548067323699</x:v>
      </x:c>
      <x:c r="H360" s="563" t="n">
        <x:f>'_計算月次'!$K$12</x:f>
        <x:v>450</x:v>
      </x:c>
      <x:c r="I360" s="563" t="n">
        <x:f>(1-MAX(MIN('詳細設定'!$D$16,0.999999),0))^(B360-1)</x:f>
        <x:v>1</x:v>
      </x:c>
      <x:c r="J360" s="563" t="n">
        <x:f>MAX(G360*D360*I360,0)</x:f>
        <x:v>528.6548067323699</x:v>
      </x:c>
      <x:c r="K360" s="563" t="n">
        <x:f>MAX(MIN(J360*F360,H360),0)</x:f>
        <x:v>211.46192269294798</x:v>
      </x:c>
      <x:c r="L360" s="563" t="n">
        <x:f>MAX(J360-K360,0)</x:f>
        <x:v>317.192884039422</x:v>
      </x:c>
      <x:c r="M360" s="185" t="n">
        <x:f>MAX('詳細設定'!$D$6,0)*(1+'詳細設定'!$D$21)^(B360-1)</x:f>
        <x:v>38.27898454395263</x:v>
      </x:c>
      <x:c r="N360" s="185" t="n">
        <x:f>IF(B360&lt;=MAX(MIN('詳細設定'!$D$8,20),0),MAX('詳細設定'!$D$7,0),IF(B360&lt;=MAX(MIN('詳細設定'!$D$10,20),0),MAX('詳細設定'!$D$9,0),MAX('詳細設定'!$D$11,0)))</x:f>
        <x:v>8.3</x:v>
      </x:c>
      <x:c r="O360" s="190" t="n">
        <x:f>K360*M360</x:f>
        <x:v>8094.547670397862</x:v>
      </x:c>
      <x:c r="P360" s="190" t="n">
        <x:f>L360*N360</x:f>
        <x:v>2632.7009375272028</x:v>
      </x:c>
      <x:c r="Q360" s="190" t="n">
        <x:f>O360+P360</x:f>
        <x:v>10727.248607925065</x:v>
      </x:c>
      <x:c r="R360" s="196" t="n">
        <x:f>J360-K360-L360</x:f>
        <x:v>0</x:v>
      </x:c>
    </x:row>
    <x:row r="361">
      <x:c r="A361" s="20" t="str">
        <x:v>標準</x:v>
      </x:c>
      <x:c r="B361" s="20" t="n">
        <x:v>10</x:v>
      </x:c>
      <x:c r="C361" s="20" t="n">
        <x:v>9</x:v>
      </x:c>
      <x:c r="D361" s="189" t="n">
        <x:v>1</x:v>
      </x:c>
      <x:c r="E361" s="189" t="n">
        <x:v>1</x:v>
      </x:c>
      <x:c r="F361" s="189" t="n">
        <x:f>MAX(MIN('詳細設定'!$D$15+0,1),0)</x:f>
        <x:v>0.4</x:v>
      </x:c>
      <x:c r="G361" s="563" t="n">
        <x:f>'_計算月次'!$J$13</x:f>
        <x:v>436.37734765103465</x:v>
      </x:c>
      <x:c r="H361" s="563" t="n">
        <x:f>'_計算月次'!$K$13</x:f>
        <x:v>360</x:v>
      </x:c>
      <x:c r="I361" s="563" t="n">
        <x:f>(1-MAX(MIN('詳細設定'!$D$16,0.999999),0))^(B361-1)</x:f>
        <x:v>1</x:v>
      </x:c>
      <x:c r="J361" s="563" t="n">
        <x:f>MAX(G361*D361*I361,0)</x:f>
        <x:v>436.37734765103465</x:v>
      </x:c>
      <x:c r="K361" s="563" t="n">
        <x:f>MAX(MIN(J361*F361,H361),0)</x:f>
        <x:v>174.55093906041387</x:v>
      </x:c>
      <x:c r="L361" s="563" t="n">
        <x:f>MAX(J361-K361,0)</x:f>
        <x:v>261.82640859062076</x:v>
      </x:c>
      <x:c r="M361" s="185" t="n">
        <x:f>MAX('詳細設定'!$D$6,0)*(1+'詳細設定'!$D$21)^(B361-1)</x:f>
        <x:v>38.27898454395263</x:v>
      </x:c>
      <x:c r="N361" s="185" t="n">
        <x:f>IF(B361&lt;=MAX(MIN('詳細設定'!$D$8,20),0),MAX('詳細設定'!$D$7,0),IF(B361&lt;=MAX(MIN('詳細設定'!$D$10,20),0),MAX('詳細設定'!$D$9,0),MAX('詳細設定'!$D$11,0)))</x:f>
        <x:v>8.3</x:v>
      </x:c>
      <x:c r="O361" s="190" t="n">
        <x:f>K361*M361</x:f>
        <x:v>6681.632698426</x:v>
      </x:c>
      <x:c r="P361" s="190" t="n">
        <x:f>L361*N361</x:f>
        <x:v>2173.1591913021525</x:v>
      </x:c>
      <x:c r="Q361" s="190" t="n">
        <x:f>O361+P361</x:f>
        <x:v>8854.791889728152</x:v>
      </x:c>
      <x:c r="R361" s="196" t="n">
        <x:f>J361-K361-L361</x:f>
        <x:v>0</x:v>
      </x:c>
    </x:row>
    <x:row r="362">
      <x:c r="A362" s="20" t="str">
        <x:v>標準</x:v>
      </x:c>
      <x:c r="B362" s="20" t="n">
        <x:v>10</x:v>
      </x:c>
      <x:c r="C362" s="20" t="n">
        <x:v>10</x:v>
      </x:c>
      <x:c r="D362" s="189" t="n">
        <x:v>1</x:v>
      </x:c>
      <x:c r="E362" s="189" t="n">
        <x:v>1</x:v>
      </x:c>
      <x:c r="F362" s="189" t="n">
        <x:f>MAX(MIN('詳細設定'!$D$15+0,1),0)</x:f>
        <x:v>0.4</x:v>
      </x:c>
      <x:c r="G362" s="563" t="n">
        <x:f>'_計算月次'!$J$14</x:f>
        <x:v>408.8269849869007</x:v>
      </x:c>
      <x:c r="H362" s="563" t="n">
        <x:f>'_計算月次'!$K$14</x:f>
        <x:v>315.00000000000006</x:v>
      </x:c>
      <x:c r="I362" s="563" t="n">
        <x:f>(1-MAX(MIN('詳細設定'!$D$16,0.999999),0))^(B362-1)</x:f>
        <x:v>1</x:v>
      </x:c>
      <x:c r="J362" s="563" t="n">
        <x:f>MAX(G362*D362*I362,0)</x:f>
        <x:v>408.8269849869007</x:v>
      </x:c>
      <x:c r="K362" s="563" t="n">
        <x:f>MAX(MIN(J362*F362,H362),0)</x:f>
        <x:v>163.5307939947603</x:v>
      </x:c>
      <x:c r="L362" s="563" t="n">
        <x:f>MAX(J362-K362,0)</x:f>
        <x:v>245.2961909921404</x:v>
      </x:c>
      <x:c r="M362" s="185" t="n">
        <x:f>MAX('詳細設定'!$D$6,0)*(1+'詳細設定'!$D$21)^(B362-1)</x:f>
        <x:v>38.27898454395263</x:v>
      </x:c>
      <x:c r="N362" s="185" t="n">
        <x:f>IF(B362&lt;=MAX(MIN('詳細設定'!$D$8,20),0),MAX('詳細設定'!$D$7,0),IF(B362&lt;=MAX(MIN('詳細設定'!$D$10,20),0),MAX('詳細設定'!$D$9,0),MAX('詳細設定'!$D$11,0)))</x:f>
        <x:v>8.3</x:v>
      </x:c>
      <x:c r="O362" s="190" t="n">
        <x:f>K362*M362</x:f>
        <x:v>6259.792735785732</x:v>
      </x:c>
      <x:c r="P362" s="190" t="n">
        <x:f>L362*N362</x:f>
        <x:v>2035.9583852347655</x:v>
      </x:c>
      <x:c r="Q362" s="190" t="n">
        <x:f>O362+P362</x:f>
        <x:v>8295.751121020498</x:v>
      </x:c>
      <x:c r="R362" s="196" t="n">
        <x:f>J362-K362-L362</x:f>
        <x:v>0</x:v>
      </x:c>
    </x:row>
    <x:row r="363">
      <x:c r="A363" s="20" t="str">
        <x:v>標準</x:v>
      </x:c>
      <x:c r="B363" s="20" t="n">
        <x:v>10</x:v>
      </x:c>
      <x:c r="C363" s="20" t="n">
        <x:v>11</x:v>
      </x:c>
      <x:c r="D363" s="189" t="n">
        <x:v>1</x:v>
      </x:c>
      <x:c r="E363" s="189" t="n">
        <x:v>1</x:v>
      </x:c>
      <x:c r="F363" s="189" t="n">
        <x:f>MAX(MIN('詳細設定'!$D$15+0,1),0)</x:f>
        <x:v>0.4</x:v>
      </x:c>
      <x:c r="G363" s="563" t="n">
        <x:f>'_計算月次'!$J$15</x:f>
        <x:v>398.45169764745054</x:v>
      </x:c>
      <x:c r="H363" s="563" t="n">
        <x:f>'_計算月次'!$K$15</x:f>
        <x:v>360</x:v>
      </x:c>
      <x:c r="I363" s="563" t="n">
        <x:f>(1-MAX(MIN('詳細設定'!$D$16,0.999999),0))^(B363-1)</x:f>
        <x:v>1</x:v>
      </x:c>
      <x:c r="J363" s="563" t="n">
        <x:f>MAX(G363*D363*I363,0)</x:f>
        <x:v>398.45169764745054</x:v>
      </x:c>
      <x:c r="K363" s="563" t="n">
        <x:f>MAX(MIN(J363*F363,H363),0)</x:f>
        <x:v>159.38067905898023</x:v>
      </x:c>
      <x:c r="L363" s="563" t="n">
        <x:f>MAX(J363-K363,0)</x:f>
        <x:v>239.0710185884703</x:v>
      </x:c>
      <x:c r="M363" s="185" t="n">
        <x:f>MAX('詳細設定'!$D$6,0)*(1+'詳細設定'!$D$21)^(B363-1)</x:f>
        <x:v>38.27898454395263</x:v>
      </x:c>
      <x:c r="N363" s="185" t="n">
        <x:f>IF(B363&lt;=MAX(MIN('詳細設定'!$D$8,20),0),MAX('詳細設定'!$D$7,0),IF(B363&lt;=MAX(MIN('詳細設定'!$D$10,20),0),MAX('詳細設定'!$D$9,0),MAX('詳細設定'!$D$11,0)))</x:f>
        <x:v>8.3</x:v>
      </x:c>
      <x:c r="O363" s="190" t="n">
        <x:f>K363*M363</x:f>
        <x:v>6100.930550303379</x:v>
      </x:c>
      <x:c r="P363" s="190" t="n">
        <x:f>L363*N363</x:f>
        <x:v>1984.2894542843037</x:v>
      </x:c>
      <x:c r="Q363" s="190" t="n">
        <x:f>O363+P363</x:f>
        <x:v>8085.220004587683</x:v>
      </x:c>
      <x:c r="R363" s="196" t="n">
        <x:f>J363-K363-L363</x:f>
        <x:v>0</x:v>
      </x:c>
    </x:row>
    <x:row r="364">
      <x:c r="A364" s="20" t="str">
        <x:v>標準</x:v>
      </x:c>
      <x:c r="B364" s="20" t="n">
        <x:v>10</x:v>
      </x:c>
      <x:c r="C364" s="20" t="n">
        <x:v>12</x:v>
      </x:c>
      <x:c r="D364" s="189" t="n">
        <x:v>1</x:v>
      </x:c>
      <x:c r="E364" s="189" t="n">
        <x:v>1</x:v>
      </x:c>
      <x:c r="F364" s="189" t="n">
        <x:f>MAX(MIN('詳細設定'!$D$15+0,1),0)</x:f>
        <x:v>0.4</x:v>
      </x:c>
      <x:c r="G364" s="563" t="n">
        <x:f>'_計算月次'!$J$16</x:f>
        <x:v>443.97248688000184</x:v>
      </x:c>
      <x:c r="H364" s="563" t="n">
        <x:f>'_計算月次'!$K$16</x:f>
        <x:v>405</x:v>
      </x:c>
      <x:c r="I364" s="563" t="n">
        <x:f>(1-MAX(MIN('詳細設定'!$D$16,0.999999),0))^(B364-1)</x:f>
        <x:v>1</x:v>
      </x:c>
      <x:c r="J364" s="563" t="n">
        <x:f>MAX(G364*D364*I364,0)</x:f>
        <x:v>443.97248688000184</x:v>
      </x:c>
      <x:c r="K364" s="563" t="n">
        <x:f>MAX(MIN(J364*F364,H364),0)</x:f>
        <x:v>177.58899475200076</x:v>
      </x:c>
      <x:c r="L364" s="563" t="n">
        <x:f>MAX(J364-K364,0)</x:f>
        <x:v>266.3834921280011</x:v>
      </x:c>
      <x:c r="M364" s="185" t="n">
        <x:f>MAX('詳細設定'!$D$6,0)*(1+'詳細設定'!$D$21)^(B364-1)</x:f>
        <x:v>38.27898454395263</x:v>
      </x:c>
      <x:c r="N364" s="185" t="n">
        <x:f>IF(B364&lt;=MAX(MIN('詳細設定'!$D$8,20),0),MAX('詳細設定'!$D$7,0),IF(B364&lt;=MAX(MIN('詳細設定'!$D$10,20),0),MAX('詳細設定'!$D$9,0),MAX('詳細設定'!$D$11,0)))</x:f>
        <x:v>8.3</x:v>
      </x:c>
      <x:c r="O364" s="190" t="n">
        <x:f>K364*M364</x:f>
        <x:v>6797.926385287922</x:v>
      </x:c>
      <x:c r="P364" s="190" t="n">
        <x:f>L364*N364</x:f>
        <x:v>2210.9829846624093</x:v>
      </x:c>
      <x:c r="Q364" s="190" t="n">
        <x:f>O364+P364</x:f>
        <x:v>9008.909369950332</x:v>
      </x:c>
      <x:c r="R364" s="196" t="n">
        <x:f>J364-K364-L364</x:f>
        <x:v>0</x:v>
      </x:c>
    </x:row>
    <x:row r="365">
      <x:c r="A365" s="20" t="str">
        <x:v>標準</x:v>
      </x:c>
      <x:c r="B365" s="20" t="n">
        <x:v>11</x:v>
      </x:c>
      <x:c r="C365" s="20" t="n">
        <x:v>1</x:v>
      </x:c>
      <x:c r="D365" s="189" t="n">
        <x:v>1</x:v>
      </x:c>
      <x:c r="E365" s="189" t="n">
        <x:v>1</x:v>
      </x:c>
      <x:c r="F365" s="189" t="n">
        <x:f>MAX(MIN('詳細設定'!$D$15+0,1),0)</x:f>
        <x:v>0.4</x:v>
      </x:c>
      <x:c r="G365" s="563" t="n">
        <x:f>'_計算月次'!$J$5</x:f>
        <x:v>502.4147595742038</x:v>
      </x:c>
      <x:c r="H365" s="563" t="n">
        <x:f>'_計算月次'!$K$5</x:f>
        <x:v>450</x:v>
      </x:c>
      <x:c r="I365" s="563" t="n">
        <x:f>(1-MAX(MIN('詳細設定'!$D$16,0.999999),0))^(B365-1)</x:f>
        <x:v>1</x:v>
      </x:c>
      <x:c r="J365" s="563" t="n">
        <x:f>MAX(G365*D365*I365,0)</x:f>
        <x:v>502.4147595742038</x:v>
      </x:c>
      <x:c r="K365" s="563" t="n">
        <x:f>MAX(MIN(J365*F365,H365),0)</x:f>
        <x:v>200.96590382968154</x:v>
      </x:c>
      <x:c r="L365" s="563" t="n">
        <x:f>MAX(J365-K365,0)</x:f>
        <x:v>301.44885574452223</x:v>
      </x:c>
      <x:c r="M365" s="185" t="n">
        <x:f>MAX('詳細設定'!$D$6,0)*(1+'詳細設定'!$D$21)^(B365-1)</x:f>
        <x:v>38.66177438939216</x:v>
      </x:c>
      <x:c r="N365" s="185" t="n">
        <x:f>IF(B365&lt;=MAX(MIN('詳細設定'!$D$8,20),0),MAX('詳細設定'!$D$7,0),IF(B365&lt;=MAX(MIN('詳細設定'!$D$10,20),0),MAX('詳細設定'!$D$9,0),MAX('詳細設定'!$D$11,0)))</x:f>
        <x:v>8.3</x:v>
      </x:c>
      <x:c r="O365" s="190" t="n">
        <x:f>K365*M365</x:f>
        <x:v>7769.698433823429</x:v>
      </x:c>
      <x:c r="P365" s="190" t="n">
        <x:f>L365*N365</x:f>
        <x:v>2502.025502679535</x:v>
      </x:c>
      <x:c r="Q365" s="190" t="n">
        <x:f>O365+P365</x:f>
        <x:v>10271.723936502964</x:v>
      </x:c>
      <x:c r="R365" s="196" t="n">
        <x:f>J365-K365-L365</x:f>
        <x:v>0</x:v>
      </x:c>
    </x:row>
    <x:row r="366">
      <x:c r="A366" s="20" t="str">
        <x:v>標準</x:v>
      </x:c>
      <x:c r="B366" s="20" t="n">
        <x:v>11</x:v>
      </x:c>
      <x:c r="C366" s="20" t="n">
        <x:v>2</x:v>
      </x:c>
      <x:c r="D366" s="189" t="n">
        <x:v>1</x:v>
      </x:c>
      <x:c r="E366" s="189" t="n">
        <x:v>1</x:v>
      </x:c>
      <x:c r="F366" s="189" t="n">
        <x:f>MAX(MIN('詳細設定'!$D$15+0,1),0)</x:f>
        <x:v>0.4</x:v>
      </x:c>
      <x:c r="G366" s="563" t="n">
        <x:f>'_計算月次'!$J$6</x:f>
        <x:v>472.4508339500229</x:v>
      </x:c>
      <x:c r="H366" s="563" t="n">
        <x:f>'_計算月次'!$K$6</x:f>
        <x:v>405</x:v>
      </x:c>
      <x:c r="I366" s="563" t="n">
        <x:f>(1-MAX(MIN('詳細設定'!$D$16,0.999999),0))^(B366-1)</x:f>
        <x:v>1</x:v>
      </x:c>
      <x:c r="J366" s="563" t="n">
        <x:f>MAX(G366*D366*I366,0)</x:f>
        <x:v>472.4508339500229</x:v>
      </x:c>
      <x:c r="K366" s="563" t="n">
        <x:f>MAX(MIN(J366*F366,H366),0)</x:f>
        <x:v>188.9803335800092</x:v>
      </x:c>
      <x:c r="L366" s="563" t="n">
        <x:f>MAX(J366-K366,0)</x:f>
        <x:v>283.4705003700137</x:v>
      </x:c>
      <x:c r="M366" s="185" t="n">
        <x:f>MAX('詳細設定'!$D$6,0)*(1+'詳細設定'!$D$21)^(B366-1)</x:f>
        <x:v>38.66177438939216</x:v>
      </x:c>
      <x:c r="N366" s="185" t="n">
        <x:f>IF(B366&lt;=MAX(MIN('詳細設定'!$D$8,20),0),MAX('詳細設定'!$D$7,0),IF(B366&lt;=MAX(MIN('詳細設定'!$D$10,20),0),MAX('詳細設定'!$D$9,0),MAX('詳細設定'!$D$11,0)))</x:f>
        <x:v>8.3</x:v>
      </x:c>
      <x:c r="O366" s="190" t="n">
        <x:f>K366*M366</x:f>
        <x:v>7306.315020902386</x:v>
      </x:c>
      <x:c r="P366" s="190" t="n">
        <x:f>L366*N366</x:f>
        <x:v>2352.805153071114</x:v>
      </x:c>
      <x:c r="Q366" s="190" t="n">
        <x:f>O366+P366</x:f>
        <x:v>9659.1201739735</x:v>
      </x:c>
      <x:c r="R366" s="196" t="n">
        <x:f>J366-K366-L366</x:f>
        <x:v>0</x:v>
      </x:c>
    </x:row>
    <x:row r="367">
      <x:c r="A367" s="20" t="str">
        <x:v>標準</x:v>
      </x:c>
      <x:c r="B367" s="20" t="n">
        <x:v>11</x:v>
      </x:c>
      <x:c r="C367" s="20" t="n">
        <x:v>3</x:v>
      </x:c>
      <x:c r="D367" s="189" t="n">
        <x:v>1</x:v>
      </x:c>
      <x:c r="E367" s="189" t="n">
        <x:v>1</x:v>
      </x:c>
      <x:c r="F367" s="189" t="n">
        <x:f>MAX(MIN('詳細設定'!$D$15+0,1),0)</x:f>
        <x:v>0.4</x:v>
      </x:c>
      <x:c r="G367" s="563" t="n">
        <x:f>'_計算月次'!$J$7</x:f>
        <x:v>548.3418864753118</x:v>
      </x:c>
      <x:c r="H367" s="563" t="n">
        <x:f>'_計算月次'!$K$7</x:f>
        <x:v>360</x:v>
      </x:c>
      <x:c r="I367" s="563" t="n">
        <x:f>(1-MAX(MIN('詳細設定'!$D$16,0.999999),0))^(B367-1)</x:f>
        <x:v>1</x:v>
      </x:c>
      <x:c r="J367" s="563" t="n">
        <x:f>MAX(G367*D367*I367,0)</x:f>
        <x:v>548.3418864753118</x:v>
      </x:c>
      <x:c r="K367" s="563" t="n">
        <x:f>MAX(MIN(J367*F367,H367),0)</x:f>
        <x:v>219.3367545901247</x:v>
      </x:c>
      <x:c r="L367" s="563" t="n">
        <x:f>MAX(J367-K367,0)</x:f>
        <x:v>329.00513188518704</x:v>
      </x:c>
      <x:c r="M367" s="185" t="n">
        <x:f>MAX('詳細設定'!$D$6,0)*(1+'詳細設定'!$D$21)^(B367-1)</x:f>
        <x:v>38.66177438939216</x:v>
      </x:c>
      <x:c r="N367" s="185" t="n">
        <x:f>IF(B367&lt;=MAX(MIN('詳細設定'!$D$8,20),0),MAX('詳細設定'!$D$7,0),IF(B367&lt;=MAX(MIN('詳細設定'!$D$10,20),0),MAX('詳細設定'!$D$9,0),MAX('詳細設定'!$D$11,0)))</x:f>
        <x:v>8.3</x:v>
      </x:c>
      <x:c r="O367" s="190" t="n">
        <x:f>K367*M367</x:f>
        <x:v>8479.948121264877</x:v>
      </x:c>
      <x:c r="P367" s="190" t="n">
        <x:f>L367*N367</x:f>
        <x:v>2730.7425946470526</x:v>
      </x:c>
      <x:c r="Q367" s="190" t="n">
        <x:f>O367+P367</x:f>
        <x:v>11210.69071591193</x:v>
      </x:c>
      <x:c r="R367" s="196" t="n">
        <x:f>J367-K367-L367</x:f>
        <x:v>0</x:v>
      </x:c>
    </x:row>
    <x:row r="368">
      <x:c r="A368" s="20" t="str">
        <x:v>標準</x:v>
      </x:c>
      <x:c r="B368" s="20" t="n">
        <x:v>11</x:v>
      </x:c>
      <x:c r="C368" s="20" t="n">
        <x:v>4</x:v>
      </x:c>
      <x:c r="D368" s="189" t="n">
        <x:v>1</x:v>
      </x:c>
      <x:c r="E368" s="189" t="n">
        <x:v>1</x:v>
      </x:c>
      <x:c r="F368" s="189" t="n">
        <x:f>MAX(MIN('詳細設定'!$D$15+0,1),0)</x:f>
        <x:v>0.4</x:v>
      </x:c>
      <x:c r="G368" s="563" t="n">
        <x:f>'_計算月次'!$J$8</x:f>
        <x:v>548.3944393749554</x:v>
      </x:c>
      <x:c r="H368" s="563" t="n">
        <x:f>'_計算月次'!$K$8</x:f>
        <x:v>315.00000000000006</x:v>
      </x:c>
      <x:c r="I368" s="563" t="n">
        <x:f>(1-MAX(MIN('詳細設定'!$D$16,0.999999),0))^(B368-1)</x:f>
        <x:v>1</x:v>
      </x:c>
      <x:c r="J368" s="563" t="n">
        <x:f>MAX(G368*D368*I368,0)</x:f>
        <x:v>548.3944393749554</x:v>
      </x:c>
      <x:c r="K368" s="563" t="n">
        <x:f>MAX(MIN(J368*F368,H368),0)</x:f>
        <x:v>219.35777574998215</x:v>
      </x:c>
      <x:c r="L368" s="563" t="n">
        <x:f>MAX(J368-K368,0)</x:f>
        <x:v>329.03666362497324</x:v>
      </x:c>
      <x:c r="M368" s="185" t="n">
        <x:f>MAX('詳細設定'!$D$6,0)*(1+'詳細設定'!$D$21)^(B368-1)</x:f>
        <x:v>38.66177438939216</x:v>
      </x:c>
      <x:c r="N368" s="185" t="n">
        <x:f>IF(B368&lt;=MAX(MIN('詳細設定'!$D$8,20),0),MAX('詳細設定'!$D$7,0),IF(B368&lt;=MAX(MIN('詳細設定'!$D$10,20),0),MAX('詳細設定'!$D$9,0),MAX('詳細設定'!$D$11,0)))</x:f>
        <x:v>8.3</x:v>
      </x:c>
      <x:c r="O368" s="190" t="n">
        <x:f>K368*M368</x:f>
        <x:v>8480.760836604688</x:v>
      </x:c>
      <x:c r="P368" s="190" t="n">
        <x:f>L368*N368</x:f>
        <x:v>2731.0043080872783</x:v>
      </x:c>
      <x:c r="Q368" s="190" t="n">
        <x:f>O368+P368</x:f>
        <x:v>11211.765144691966</x:v>
      </x:c>
      <x:c r="R368" s="196" t="n">
        <x:f>J368-K368-L368</x:f>
        <x:v>0</x:v>
      </x:c>
    </x:row>
    <x:row r="369">
      <x:c r="A369" s="20" t="str">
        <x:v>標準</x:v>
      </x:c>
      <x:c r="B369" s="20" t="n">
        <x:v>11</x:v>
      </x:c>
      <x:c r="C369" s="20" t="n">
        <x:v>5</x:v>
      </x:c>
      <x:c r="D369" s="189" t="n">
        <x:v>1</x:v>
      </x:c>
      <x:c r="E369" s="189" t="n">
        <x:v>1</x:v>
      </x:c>
      <x:c r="F369" s="189" t="n">
        <x:f>MAX(MIN('詳細設定'!$D$15+0,1),0)</x:f>
        <x:v>0.4</x:v>
      </x:c>
      <x:c r="G369" s="563" t="n">
        <x:f>'_計算月次'!$J$9</x:f>
        <x:v>552.2367574934775</x:v>
      </x:c>
      <x:c r="H369" s="563" t="n">
        <x:f>'_計算月次'!$K$9</x:f>
        <x:v>315.00000000000006</x:v>
      </x:c>
      <x:c r="I369" s="563" t="n">
        <x:f>(1-MAX(MIN('詳細設定'!$D$16,0.999999),0))^(B369-1)</x:f>
        <x:v>1</x:v>
      </x:c>
      <x:c r="J369" s="563" t="n">
        <x:f>MAX(G369*D369*I369,0)</x:f>
        <x:v>552.2367574934775</x:v>
      </x:c>
      <x:c r="K369" s="563" t="n">
        <x:f>MAX(MIN(J369*F369,H369),0)</x:f>
        <x:v>220.89470299739102</x:v>
      </x:c>
      <x:c r="L369" s="563" t="n">
        <x:f>MAX(J369-K369,0)</x:f>
        <x:v>331.34205449608646</x:v>
      </x:c>
      <x:c r="M369" s="185" t="n">
        <x:f>MAX('詳細設定'!$D$6,0)*(1+'詳細設定'!$D$21)^(B369-1)</x:f>
        <x:v>38.66177438939216</x:v>
      </x:c>
      <x:c r="N369" s="185" t="n">
        <x:f>IF(B369&lt;=MAX(MIN('詳細設定'!$D$8,20),0),MAX('詳細設定'!$D$7,0),IF(B369&lt;=MAX(MIN('詳細設定'!$D$10,20),0),MAX('詳細設定'!$D$9,0),MAX('詳細設定'!$D$11,0)))</x:f>
        <x:v>8.3</x:v>
      </x:c>
      <x:c r="O369" s="190" t="n">
        <x:f>K369*M369</x:f>
        <x:v>8540.18117109692</x:v>
      </x:c>
      <x:c r="P369" s="190" t="n">
        <x:f>L369*N369</x:f>
        <x:v>2750.139052317518</x:v>
      </x:c>
      <x:c r="Q369" s="190" t="n">
        <x:f>O369+P369</x:f>
        <x:v>11290.320223414437</x:v>
      </x:c>
      <x:c r="R369" s="196" t="n">
        <x:f>J369-K369-L369</x:f>
        <x:v>0</x:v>
      </x:c>
    </x:row>
    <x:row r="370">
      <x:c r="A370" s="20" t="str">
        <x:v>標準</x:v>
      </x:c>
      <x:c r="B370" s="20" t="n">
        <x:v>11</x:v>
      </x:c>
      <x:c r="C370" s="20" t="n">
        <x:v>6</x:v>
      </x:c>
      <x:c r="D370" s="189" t="n">
        <x:v>1</x:v>
      </x:c>
      <x:c r="E370" s="189" t="n">
        <x:v>1</x:v>
      </x:c>
      <x:c r="F370" s="189" t="n">
        <x:f>MAX(MIN('詳細設定'!$D$15+0,1),0)</x:f>
        <x:v>0.4</x:v>
      </x:c>
      <x:c r="G370" s="563" t="n">
        <x:f>'_計算月次'!$J$10</x:f>
        <x:v>448.7994857612148</x:v>
      </x:c>
      <x:c r="H370" s="563" t="n">
        <x:f>'_計算月次'!$K$10</x:f>
        <x:v>360</x:v>
      </x:c>
      <x:c r="I370" s="563" t="n">
        <x:f>(1-MAX(MIN('詳細設定'!$D$16,0.999999),0))^(B370-1)</x:f>
        <x:v>1</x:v>
      </x:c>
      <x:c r="J370" s="563" t="n">
        <x:f>MAX(G370*D370*I370,0)</x:f>
        <x:v>448.7994857612148</x:v>
      </x:c>
      <x:c r="K370" s="563" t="n">
        <x:f>MAX(MIN(J370*F370,H370),0)</x:f>
        <x:v>179.5197943044859</x:v>
      </x:c>
      <x:c r="L370" s="563" t="n">
        <x:f>MAX(J370-K370,0)</x:f>
        <x:v>269.27969145672887</x:v>
      </x:c>
      <x:c r="M370" s="185" t="n">
        <x:f>MAX('詳細設定'!$D$6,0)*(1+'詳細設定'!$D$21)^(B370-1)</x:f>
        <x:v>38.66177438939216</x:v>
      </x:c>
      <x:c r="N370" s="185" t="n">
        <x:f>IF(B370&lt;=MAX(MIN('詳細設定'!$D$8,20),0),MAX('詳細設定'!$D$7,0),IF(B370&lt;=MAX(MIN('詳細設定'!$D$10,20),0),MAX('詳細設定'!$D$9,0),MAX('詳細設定'!$D$11,0)))</x:f>
        <x:v>8.3</x:v>
      </x:c>
      <x:c r="O370" s="190" t="n">
        <x:f>K370*M370</x:f>
        <x:v>6940.553785830121</x:v>
      </x:c>
      <x:c r="P370" s="190" t="n">
        <x:f>L370*N370</x:f>
        <x:v>2235.02143909085</x:v>
      </x:c>
      <x:c r="Q370" s="190" t="n">
        <x:f>O370+P370</x:f>
        <x:v>9175.57522492097</x:v>
      </x:c>
      <x:c r="R370" s="196" t="n">
        <x:f>J370-K370-L370</x:f>
        <x:v>0</x:v>
      </x:c>
    </x:row>
    <x:row r="371">
      <x:c r="A371" s="20" t="str">
        <x:v>標準</x:v>
      </x:c>
      <x:c r="B371" s="20" t="n">
        <x:v>11</x:v>
      </x:c>
      <x:c r="C371" s="20" t="n">
        <x:v>7</x:v>
      </x:c>
      <x:c r="D371" s="189" t="n">
        <x:v>1</x:v>
      </x:c>
      <x:c r="E371" s="189" t="n">
        <x:v>1</x:v>
      </x:c>
      <x:c r="F371" s="189" t="n">
        <x:f>MAX(MIN('詳細設定'!$D$15+0,1),0)</x:f>
        <x:v>0.4</x:v>
      </x:c>
      <x:c r="G371" s="563" t="n">
        <x:f>'_計算月次'!$J$11</x:f>
        <x:v>476.0181638067866</x:v>
      </x:c>
      <x:c r="H371" s="563" t="n">
        <x:f>'_計算月次'!$K$11</x:f>
        <x:v>405</x:v>
      </x:c>
      <x:c r="I371" s="563" t="n">
        <x:f>(1-MAX(MIN('詳細設定'!$D$16,0.999999),0))^(B371-1)</x:f>
        <x:v>1</x:v>
      </x:c>
      <x:c r="J371" s="563" t="n">
        <x:f>MAX(G371*D371*I371,0)</x:f>
        <x:v>476.0181638067866</x:v>
      </x:c>
      <x:c r="K371" s="563" t="n">
        <x:f>MAX(MIN(J371*F371,H371),0)</x:f>
        <x:v>190.40726552271465</x:v>
      </x:c>
      <x:c r="L371" s="563" t="n">
        <x:f>MAX(J371-K371,0)</x:f>
        <x:v>285.61089828407194</x:v>
      </x:c>
      <x:c r="M371" s="185" t="n">
        <x:f>MAX('詳細設定'!$D$6,0)*(1+'詳細設定'!$D$21)^(B371-1)</x:f>
        <x:v>38.66177438939216</x:v>
      </x:c>
      <x:c r="N371" s="185" t="n">
        <x:f>IF(B371&lt;=MAX(MIN('詳細設定'!$D$8,20),0),MAX('詳細設定'!$D$7,0),IF(B371&lt;=MAX(MIN('詳細設定'!$D$10,20),0),MAX('詳細設定'!$D$9,0),MAX('詳細設定'!$D$11,0)))</x:f>
        <x:v>8.3</x:v>
      </x:c>
      <x:c r="O371" s="190" t="n">
        <x:f>K371*M371</x:f>
        <x:v>7361.482741740281</x:v>
      </x:c>
      <x:c r="P371" s="190" t="n">
        <x:f>L371*N371</x:f>
        <x:v>2370.5704557577974</x:v>
      </x:c>
      <x:c r="Q371" s="190" t="n">
        <x:f>O371+P371</x:f>
        <x:v>9732.053197498079</x:v>
      </x:c>
      <x:c r="R371" s="196" t="n">
        <x:f>J371-K371-L371</x:f>
        <x:v>0</x:v>
      </x:c>
    </x:row>
    <x:row r="372">
      <x:c r="A372" s="20" t="str">
        <x:v>標準</x:v>
      </x:c>
      <x:c r="B372" s="20" t="n">
        <x:v>11</x:v>
      </x:c>
      <x:c r="C372" s="20" t="n">
        <x:v>8</x:v>
      </x:c>
      <x:c r="D372" s="189" t="n">
        <x:v>1</x:v>
      </x:c>
      <x:c r="E372" s="189" t="n">
        <x:v>1</x:v>
      </x:c>
      <x:c r="F372" s="189" t="n">
        <x:f>MAX(MIN('詳細設定'!$D$15+0,1),0)</x:f>
        <x:v>0.4</x:v>
      </x:c>
      <x:c r="G372" s="563" t="n">
        <x:f>'_計算月次'!$J$12</x:f>
        <x:v>528.6548067323699</x:v>
      </x:c>
      <x:c r="H372" s="563" t="n">
        <x:f>'_計算月次'!$K$12</x:f>
        <x:v>450</x:v>
      </x:c>
      <x:c r="I372" s="563" t="n">
        <x:f>(1-MAX(MIN('詳細設定'!$D$16,0.999999),0))^(B372-1)</x:f>
        <x:v>1</x:v>
      </x:c>
      <x:c r="J372" s="563" t="n">
        <x:f>MAX(G372*D372*I372,0)</x:f>
        <x:v>528.6548067323699</x:v>
      </x:c>
      <x:c r="K372" s="563" t="n">
        <x:f>MAX(MIN(J372*F372,H372),0)</x:f>
        <x:v>211.46192269294798</x:v>
      </x:c>
      <x:c r="L372" s="563" t="n">
        <x:f>MAX(J372-K372,0)</x:f>
        <x:v>317.192884039422</x:v>
      </x:c>
      <x:c r="M372" s="185" t="n">
        <x:f>MAX('詳細設定'!$D$6,0)*(1+'詳細設定'!$D$21)^(B372-1)</x:f>
        <x:v>38.66177438939216</x:v>
      </x:c>
      <x:c r="N372" s="185" t="n">
        <x:f>IF(B372&lt;=MAX(MIN('詳細設定'!$D$8,20),0),MAX('詳細設定'!$D$7,0),IF(B372&lt;=MAX(MIN('詳細設定'!$D$10,20),0),MAX('詳細設定'!$D$9,0),MAX('詳細設定'!$D$11,0)))</x:f>
        <x:v>8.3</x:v>
      </x:c>
      <x:c r="O372" s="190" t="n">
        <x:f>K372*M372</x:f>
        <x:v>8175.493147101841</x:v>
      </x:c>
      <x:c r="P372" s="190" t="n">
        <x:f>L372*N372</x:f>
        <x:v>2632.7009375272028</x:v>
      </x:c>
      <x:c r="Q372" s="190" t="n">
        <x:f>O372+P372</x:f>
        <x:v>10808.194084629044</x:v>
      </x:c>
      <x:c r="R372" s="196" t="n">
        <x:f>J372-K372-L372</x:f>
        <x:v>0</x:v>
      </x:c>
    </x:row>
    <x:row r="373">
      <x:c r="A373" s="20" t="str">
        <x:v>標準</x:v>
      </x:c>
      <x:c r="B373" s="20" t="n">
        <x:v>11</x:v>
      </x:c>
      <x:c r="C373" s="20" t="n">
        <x:v>9</x:v>
      </x:c>
      <x:c r="D373" s="189" t="n">
        <x:v>1</x:v>
      </x:c>
      <x:c r="E373" s="189" t="n">
        <x:v>1</x:v>
      </x:c>
      <x:c r="F373" s="189" t="n">
        <x:f>MAX(MIN('詳細設定'!$D$15+0,1),0)</x:f>
        <x:v>0.4</x:v>
      </x:c>
      <x:c r="G373" s="563" t="n">
        <x:f>'_計算月次'!$J$13</x:f>
        <x:v>436.37734765103465</x:v>
      </x:c>
      <x:c r="H373" s="563" t="n">
        <x:f>'_計算月次'!$K$13</x:f>
        <x:v>360</x:v>
      </x:c>
      <x:c r="I373" s="563" t="n">
        <x:f>(1-MAX(MIN('詳細設定'!$D$16,0.999999),0))^(B373-1)</x:f>
        <x:v>1</x:v>
      </x:c>
      <x:c r="J373" s="563" t="n">
        <x:f>MAX(G373*D373*I373,0)</x:f>
        <x:v>436.37734765103465</x:v>
      </x:c>
      <x:c r="K373" s="563" t="n">
        <x:f>MAX(MIN(J373*F373,H373),0)</x:f>
        <x:v>174.55093906041387</x:v>
      </x:c>
      <x:c r="L373" s="563" t="n">
        <x:f>MAX(J373-K373,0)</x:f>
        <x:v>261.82640859062076</x:v>
      </x:c>
      <x:c r="M373" s="185" t="n">
        <x:f>MAX('詳細設定'!$D$6,0)*(1+'詳細設定'!$D$21)^(B373-1)</x:f>
        <x:v>38.66177438939216</x:v>
      </x:c>
      <x:c r="N373" s="185" t="n">
        <x:f>IF(B373&lt;=MAX(MIN('詳細設定'!$D$8,20),0),MAX('詳細設定'!$D$7,0),IF(B373&lt;=MAX(MIN('詳細設定'!$D$10,20),0),MAX('詳細設定'!$D$9,0),MAX('詳細設定'!$D$11,0)))</x:f>
        <x:v>8.3</x:v>
      </x:c>
      <x:c r="O373" s="190" t="n">
        <x:f>K373*M373</x:f>
        <x:v>6748.44902541026</x:v>
      </x:c>
      <x:c r="P373" s="190" t="n">
        <x:f>L373*N373</x:f>
        <x:v>2173.1591913021525</x:v>
      </x:c>
      <x:c r="Q373" s="190" t="n">
        <x:f>O373+P373</x:f>
        <x:v>8921.608216712413</x:v>
      </x:c>
      <x:c r="R373" s="196" t="n">
        <x:f>J373-K373-L373</x:f>
        <x:v>0</x:v>
      </x:c>
    </x:row>
    <x:row r="374">
      <x:c r="A374" s="20" t="str">
        <x:v>標準</x:v>
      </x:c>
      <x:c r="B374" s="20" t="n">
        <x:v>11</x:v>
      </x:c>
      <x:c r="C374" s="20" t="n">
        <x:v>10</x:v>
      </x:c>
      <x:c r="D374" s="189" t="n">
        <x:v>1</x:v>
      </x:c>
      <x:c r="E374" s="189" t="n">
        <x:v>1</x:v>
      </x:c>
      <x:c r="F374" s="189" t="n">
        <x:f>MAX(MIN('詳細設定'!$D$15+0,1),0)</x:f>
        <x:v>0.4</x:v>
      </x:c>
      <x:c r="G374" s="563" t="n">
        <x:f>'_計算月次'!$J$14</x:f>
        <x:v>408.8269849869007</x:v>
      </x:c>
      <x:c r="H374" s="563" t="n">
        <x:f>'_計算月次'!$K$14</x:f>
        <x:v>315.00000000000006</x:v>
      </x:c>
      <x:c r="I374" s="563" t="n">
        <x:f>(1-MAX(MIN('詳細設定'!$D$16,0.999999),0))^(B374-1)</x:f>
        <x:v>1</x:v>
      </x:c>
      <x:c r="J374" s="563" t="n">
        <x:f>MAX(G374*D374*I374,0)</x:f>
        <x:v>408.8269849869007</x:v>
      </x:c>
      <x:c r="K374" s="563" t="n">
        <x:f>MAX(MIN(J374*F374,H374),0)</x:f>
        <x:v>163.5307939947603</x:v>
      </x:c>
      <x:c r="L374" s="563" t="n">
        <x:f>MAX(J374-K374,0)</x:f>
        <x:v>245.2961909921404</x:v>
      </x:c>
      <x:c r="M374" s="185" t="n">
        <x:f>MAX('詳細設定'!$D$6,0)*(1+'詳細設定'!$D$21)^(B374-1)</x:f>
        <x:v>38.66177438939216</x:v>
      </x:c>
      <x:c r="N374" s="185" t="n">
        <x:f>IF(B374&lt;=MAX(MIN('詳細設定'!$D$8,20),0),MAX('詳細設定'!$D$7,0),IF(B374&lt;=MAX(MIN('詳細設定'!$D$10,20),0),MAX('詳細設定'!$D$9,0),MAX('詳細設定'!$D$11,0)))</x:f>
        <x:v>8.3</x:v>
      </x:c>
      <x:c r="O374" s="190" t="n">
        <x:f>K374*M374</x:f>
        <x:v>6322.390663143588</x:v>
      </x:c>
      <x:c r="P374" s="190" t="n">
        <x:f>L374*N374</x:f>
        <x:v>2035.9583852347655</x:v>
      </x:c>
      <x:c r="Q374" s="190" t="n">
        <x:f>O374+P374</x:f>
        <x:v>8358.349048378353</x:v>
      </x:c>
      <x:c r="R374" s="196" t="n">
        <x:f>J374-K374-L374</x:f>
        <x:v>0</x:v>
      </x:c>
    </x:row>
    <x:row r="375">
      <x:c r="A375" s="20" t="str">
        <x:v>標準</x:v>
      </x:c>
      <x:c r="B375" s="20" t="n">
        <x:v>11</x:v>
      </x:c>
      <x:c r="C375" s="20" t="n">
        <x:v>11</x:v>
      </x:c>
      <x:c r="D375" s="189" t="n">
        <x:v>1</x:v>
      </x:c>
      <x:c r="E375" s="189" t="n">
        <x:v>1</x:v>
      </x:c>
      <x:c r="F375" s="189" t="n">
        <x:f>MAX(MIN('詳細設定'!$D$15+0,1),0)</x:f>
        <x:v>0.4</x:v>
      </x:c>
      <x:c r="G375" s="563" t="n">
        <x:f>'_計算月次'!$J$15</x:f>
        <x:v>398.45169764745054</x:v>
      </x:c>
      <x:c r="H375" s="563" t="n">
        <x:f>'_計算月次'!$K$15</x:f>
        <x:v>360</x:v>
      </x:c>
      <x:c r="I375" s="563" t="n">
        <x:f>(1-MAX(MIN('詳細設定'!$D$16,0.999999),0))^(B375-1)</x:f>
        <x:v>1</x:v>
      </x:c>
      <x:c r="J375" s="563" t="n">
        <x:f>MAX(G375*D375*I375,0)</x:f>
        <x:v>398.45169764745054</x:v>
      </x:c>
      <x:c r="K375" s="563" t="n">
        <x:f>MAX(MIN(J375*F375,H375),0)</x:f>
        <x:v>159.38067905898023</x:v>
      </x:c>
      <x:c r="L375" s="563" t="n">
        <x:f>MAX(J375-K375,0)</x:f>
        <x:v>239.0710185884703</x:v>
      </x:c>
      <x:c r="M375" s="185" t="n">
        <x:f>MAX('詳細設定'!$D$6,0)*(1+'詳細設定'!$D$21)^(B375-1)</x:f>
        <x:v>38.66177438939216</x:v>
      </x:c>
      <x:c r="N375" s="185" t="n">
        <x:f>IF(B375&lt;=MAX(MIN('詳細設定'!$D$8,20),0),MAX('詳細設定'!$D$7,0),IF(B375&lt;=MAX(MIN('詳細設定'!$D$10,20),0),MAX('詳細設定'!$D$9,0),MAX('詳細設定'!$D$11,0)))</x:f>
        <x:v>8.3</x:v>
      </x:c>
      <x:c r="O375" s="190" t="n">
        <x:f>K375*M375</x:f>
        <x:v>6161.939855806413</x:v>
      </x:c>
      <x:c r="P375" s="190" t="n">
        <x:f>L375*N375</x:f>
        <x:v>1984.2894542843037</x:v>
      </x:c>
      <x:c r="Q375" s="190" t="n">
        <x:f>O375+P375</x:f>
        <x:v>8146.229310090717</x:v>
      </x:c>
      <x:c r="R375" s="196" t="n">
        <x:f>J375-K375-L375</x:f>
        <x:v>0</x:v>
      </x:c>
    </x:row>
    <x:row r="376">
      <x:c r="A376" s="20" t="str">
        <x:v>標準</x:v>
      </x:c>
      <x:c r="B376" s="20" t="n">
        <x:v>11</x:v>
      </x:c>
      <x:c r="C376" s="20" t="n">
        <x:v>12</x:v>
      </x:c>
      <x:c r="D376" s="189" t="n">
        <x:v>1</x:v>
      </x:c>
      <x:c r="E376" s="189" t="n">
        <x:v>1</x:v>
      </x:c>
      <x:c r="F376" s="189" t="n">
        <x:f>MAX(MIN('詳細設定'!$D$15+0,1),0)</x:f>
        <x:v>0.4</x:v>
      </x:c>
      <x:c r="G376" s="563" t="n">
        <x:f>'_計算月次'!$J$16</x:f>
        <x:v>443.97248688000184</x:v>
      </x:c>
      <x:c r="H376" s="563" t="n">
        <x:f>'_計算月次'!$K$16</x:f>
        <x:v>405</x:v>
      </x:c>
      <x:c r="I376" s="563" t="n">
        <x:f>(1-MAX(MIN('詳細設定'!$D$16,0.999999),0))^(B376-1)</x:f>
        <x:v>1</x:v>
      </x:c>
      <x:c r="J376" s="563" t="n">
        <x:f>MAX(G376*D376*I376,0)</x:f>
        <x:v>443.97248688000184</x:v>
      </x:c>
      <x:c r="K376" s="563" t="n">
        <x:f>MAX(MIN(J376*F376,H376),0)</x:f>
        <x:v>177.58899475200076</x:v>
      </x:c>
      <x:c r="L376" s="563" t="n">
        <x:f>MAX(J376-K376,0)</x:f>
        <x:v>266.3834921280011</x:v>
      </x:c>
      <x:c r="M376" s="185" t="n">
        <x:f>MAX('詳細設定'!$D$6,0)*(1+'詳細設定'!$D$21)^(B376-1)</x:f>
        <x:v>38.66177438939216</x:v>
      </x:c>
      <x:c r="N376" s="185" t="n">
        <x:f>IF(B376&lt;=MAX(MIN('詳細設定'!$D$8,20),0),MAX('詳細設定'!$D$7,0),IF(B376&lt;=MAX(MIN('詳細設定'!$D$10,20),0),MAX('詳細設定'!$D$9,0),MAX('詳細設定'!$D$11,0)))</x:f>
        <x:v>8.3</x:v>
      </x:c>
      <x:c r="O376" s="190" t="n">
        <x:f>K376*M376</x:f>
        <x:v>6865.905649140801</x:v>
      </x:c>
      <x:c r="P376" s="190" t="n">
        <x:f>L376*N376</x:f>
        <x:v>2210.9829846624093</x:v>
      </x:c>
      <x:c r="Q376" s="190" t="n">
        <x:f>O376+P376</x:f>
        <x:v>9076.88863380321</x:v>
      </x:c>
      <x:c r="R376" s="196" t="n">
        <x:f>J376-K376-L376</x:f>
        <x:v>0</x:v>
      </x:c>
    </x:row>
    <x:row r="377">
      <x:c r="A377" s="20" t="str">
        <x:v>標準</x:v>
      </x:c>
      <x:c r="B377" s="20" t="n">
        <x:v>12</x:v>
      </x:c>
      <x:c r="C377" s="20" t="n">
        <x:v>1</x:v>
      </x:c>
      <x:c r="D377" s="189" t="n">
        <x:v>1</x:v>
      </x:c>
      <x:c r="E377" s="189" t="n">
        <x:v>1</x:v>
      </x:c>
      <x:c r="F377" s="189" t="n">
        <x:f>MAX(MIN('詳細設定'!$D$15+0,1),0)</x:f>
        <x:v>0.4</x:v>
      </x:c>
      <x:c r="G377" s="563" t="n">
        <x:f>'_計算月次'!$J$5</x:f>
        <x:v>502.4147595742038</x:v>
      </x:c>
      <x:c r="H377" s="563" t="n">
        <x:f>'_計算月次'!$K$5</x:f>
        <x:v>450</x:v>
      </x:c>
      <x:c r="I377" s="563" t="n">
        <x:f>(1-MAX(MIN('詳細設定'!$D$16,0.999999),0))^(B377-1)</x:f>
        <x:v>1</x:v>
      </x:c>
      <x:c r="J377" s="563" t="n">
        <x:f>MAX(G377*D377*I377,0)</x:f>
        <x:v>502.4147595742038</x:v>
      </x:c>
      <x:c r="K377" s="563" t="n">
        <x:f>MAX(MIN(J377*F377,H377),0)</x:f>
        <x:v>200.96590382968154</x:v>
      </x:c>
      <x:c r="L377" s="563" t="n">
        <x:f>MAX(J377-K377,0)</x:f>
        <x:v>301.44885574452223</x:v>
      </x:c>
      <x:c r="M377" s="185" t="n">
        <x:f>MAX('詳細設定'!$D$6,0)*(1+'詳細設定'!$D$21)^(B377-1)</x:f>
        <x:v>39.04839213328608</x:v>
      </x:c>
      <x:c r="N377" s="185" t="n">
        <x:f>IF(B377&lt;=MAX(MIN('詳細設定'!$D$8,20),0),MAX('詳細設定'!$D$7,0),IF(B377&lt;=MAX(MIN('詳細設定'!$D$10,20),0),MAX('詳細設定'!$D$9,0),MAX('詳細設定'!$D$11,0)))</x:f>
        <x:v>8.3</x:v>
      </x:c>
      <x:c r="O377" s="190" t="n">
        <x:f>K377*M377</x:f>
        <x:v>7847.395418161663</x:v>
      </x:c>
      <x:c r="P377" s="190" t="n">
        <x:f>L377*N377</x:f>
        <x:v>2502.025502679535</x:v>
      </x:c>
      <x:c r="Q377" s="190" t="n">
        <x:f>O377+P377</x:f>
        <x:v>10349.420920841198</x:v>
      </x:c>
      <x:c r="R377" s="196" t="n">
        <x:f>J377-K377-L377</x:f>
        <x:v>0</x:v>
      </x:c>
    </x:row>
    <x:row r="378">
      <x:c r="A378" s="20" t="str">
        <x:v>標準</x:v>
      </x:c>
      <x:c r="B378" s="20" t="n">
        <x:v>12</x:v>
      </x:c>
      <x:c r="C378" s="20" t="n">
        <x:v>2</x:v>
      </x:c>
      <x:c r="D378" s="189" t="n">
        <x:v>1</x:v>
      </x:c>
      <x:c r="E378" s="189" t="n">
        <x:v>1</x:v>
      </x:c>
      <x:c r="F378" s="189" t="n">
        <x:f>MAX(MIN('詳細設定'!$D$15+0,1),0)</x:f>
        <x:v>0.4</x:v>
      </x:c>
      <x:c r="G378" s="563" t="n">
        <x:f>'_計算月次'!$J$6</x:f>
        <x:v>472.4508339500229</x:v>
      </x:c>
      <x:c r="H378" s="563" t="n">
        <x:f>'_計算月次'!$K$6</x:f>
        <x:v>405</x:v>
      </x:c>
      <x:c r="I378" s="563" t="n">
        <x:f>(1-MAX(MIN('詳細設定'!$D$16,0.999999),0))^(B378-1)</x:f>
        <x:v>1</x:v>
      </x:c>
      <x:c r="J378" s="563" t="n">
        <x:f>MAX(G378*D378*I378,0)</x:f>
        <x:v>472.4508339500229</x:v>
      </x:c>
      <x:c r="K378" s="563" t="n">
        <x:f>MAX(MIN(J378*F378,H378),0)</x:f>
        <x:v>188.9803335800092</x:v>
      </x:c>
      <x:c r="L378" s="563" t="n">
        <x:f>MAX(J378-K378,0)</x:f>
        <x:v>283.4705003700137</x:v>
      </x:c>
      <x:c r="M378" s="185" t="n">
        <x:f>MAX('詳細設定'!$D$6,0)*(1+'詳細設定'!$D$21)^(B378-1)</x:f>
        <x:v>39.04839213328608</x:v>
      </x:c>
      <x:c r="N378" s="185" t="n">
        <x:f>IF(B378&lt;=MAX(MIN('詳細設定'!$D$8,20),0),MAX('詳細設定'!$D$7,0),IF(B378&lt;=MAX(MIN('詳細設定'!$D$10,20),0),MAX('詳細設定'!$D$9,0),MAX('詳細設定'!$D$11,0)))</x:f>
        <x:v>8.3</x:v>
      </x:c>
      <x:c r="O378" s="190" t="n">
        <x:f>K378*M378</x:f>
        <x:v>7379.37817111141</x:v>
      </x:c>
      <x:c r="P378" s="190" t="n">
        <x:f>L378*N378</x:f>
        <x:v>2352.805153071114</x:v>
      </x:c>
      <x:c r="Q378" s="190" t="n">
        <x:f>O378+P378</x:f>
        <x:v>9732.183324182524</x:v>
      </x:c>
      <x:c r="R378" s="196" t="n">
        <x:f>J378-K378-L378</x:f>
        <x:v>0</x:v>
      </x:c>
    </x:row>
    <x:row r="379">
      <x:c r="A379" s="20" t="str">
        <x:v>標準</x:v>
      </x:c>
      <x:c r="B379" s="20" t="n">
        <x:v>12</x:v>
      </x:c>
      <x:c r="C379" s="20" t="n">
        <x:v>3</x:v>
      </x:c>
      <x:c r="D379" s="189" t="n">
        <x:v>1</x:v>
      </x:c>
      <x:c r="E379" s="189" t="n">
        <x:v>1</x:v>
      </x:c>
      <x:c r="F379" s="189" t="n">
        <x:f>MAX(MIN('詳細設定'!$D$15+0,1),0)</x:f>
        <x:v>0.4</x:v>
      </x:c>
      <x:c r="G379" s="563" t="n">
        <x:f>'_計算月次'!$J$7</x:f>
        <x:v>548.3418864753118</x:v>
      </x:c>
      <x:c r="H379" s="563" t="n">
        <x:f>'_計算月次'!$K$7</x:f>
        <x:v>360</x:v>
      </x:c>
      <x:c r="I379" s="563" t="n">
        <x:f>(1-MAX(MIN('詳細設定'!$D$16,0.999999),0))^(B379-1)</x:f>
        <x:v>1</x:v>
      </x:c>
      <x:c r="J379" s="563" t="n">
        <x:f>MAX(G379*D379*I379,0)</x:f>
        <x:v>548.3418864753118</x:v>
      </x:c>
      <x:c r="K379" s="563" t="n">
        <x:f>MAX(MIN(J379*F379,H379),0)</x:f>
        <x:v>219.3367545901247</x:v>
      </x:c>
      <x:c r="L379" s="563" t="n">
        <x:f>MAX(J379-K379,0)</x:f>
        <x:v>329.00513188518704</x:v>
      </x:c>
      <x:c r="M379" s="185" t="n">
        <x:f>MAX('詳細設定'!$D$6,0)*(1+'詳細設定'!$D$21)^(B379-1)</x:f>
        <x:v>39.04839213328608</x:v>
      </x:c>
      <x:c r="N379" s="185" t="n">
        <x:f>IF(B379&lt;=MAX(MIN('詳細設定'!$D$8,20),0),MAX('詳細設定'!$D$7,0),IF(B379&lt;=MAX(MIN('詳細設定'!$D$10,20),0),MAX('詳細設定'!$D$9,0),MAX('詳細設定'!$D$11,0)))</x:f>
        <x:v>8.3</x:v>
      </x:c>
      <x:c r="O379" s="190" t="n">
        <x:f>K379*M379</x:f>
        <x:v>8564.747602477524</x:v>
      </x:c>
      <x:c r="P379" s="190" t="n">
        <x:f>L379*N379</x:f>
        <x:v>2730.7425946470526</x:v>
      </x:c>
      <x:c r="Q379" s="190" t="n">
        <x:f>O379+P379</x:f>
        <x:v>11295.490197124576</x:v>
      </x:c>
      <x:c r="R379" s="196" t="n">
        <x:f>J379-K379-L379</x:f>
        <x:v>0</x:v>
      </x:c>
    </x:row>
    <x:row r="380">
      <x:c r="A380" s="20" t="str">
        <x:v>標準</x:v>
      </x:c>
      <x:c r="B380" s="20" t="n">
        <x:v>12</x:v>
      </x:c>
      <x:c r="C380" s="20" t="n">
        <x:v>4</x:v>
      </x:c>
      <x:c r="D380" s="189" t="n">
        <x:v>1</x:v>
      </x:c>
      <x:c r="E380" s="189" t="n">
        <x:v>1</x:v>
      </x:c>
      <x:c r="F380" s="189" t="n">
        <x:f>MAX(MIN('詳細設定'!$D$15+0,1),0)</x:f>
        <x:v>0.4</x:v>
      </x:c>
      <x:c r="G380" s="563" t="n">
        <x:f>'_計算月次'!$J$8</x:f>
        <x:v>548.3944393749554</x:v>
      </x:c>
      <x:c r="H380" s="563" t="n">
        <x:f>'_計算月次'!$K$8</x:f>
        <x:v>315.00000000000006</x:v>
      </x:c>
      <x:c r="I380" s="563" t="n">
        <x:f>(1-MAX(MIN('詳細設定'!$D$16,0.999999),0))^(B380-1)</x:f>
        <x:v>1</x:v>
      </x:c>
      <x:c r="J380" s="563" t="n">
        <x:f>MAX(G380*D380*I380,0)</x:f>
        <x:v>548.3944393749554</x:v>
      </x:c>
      <x:c r="K380" s="563" t="n">
        <x:f>MAX(MIN(J380*F380,H380),0)</x:f>
        <x:v>219.35777574998215</x:v>
      </x:c>
      <x:c r="L380" s="563" t="n">
        <x:f>MAX(J380-K380,0)</x:f>
        <x:v>329.03666362497324</x:v>
      </x:c>
      <x:c r="M380" s="185" t="n">
        <x:f>MAX('詳細設定'!$D$6,0)*(1+'詳細設定'!$D$21)^(B380-1)</x:f>
        <x:v>39.04839213328608</x:v>
      </x:c>
      <x:c r="N380" s="185" t="n">
        <x:f>IF(B380&lt;=MAX(MIN('詳細設定'!$D$8,20),0),MAX('詳細設定'!$D$7,0),IF(B380&lt;=MAX(MIN('詳細設定'!$D$10,20),0),MAX('詳細設定'!$D$9,0),MAX('詳細設定'!$D$11,0)))</x:f>
        <x:v>8.3</x:v>
      </x:c>
      <x:c r="O380" s="190" t="n">
        <x:f>K380*M380</x:f>
        <x:v>8565.568444970735</x:v>
      </x:c>
      <x:c r="P380" s="190" t="n">
        <x:f>L380*N380</x:f>
        <x:v>2731.0043080872783</x:v>
      </x:c>
      <x:c r="Q380" s="190" t="n">
        <x:f>O380+P380</x:f>
        <x:v>11296.572753058013</x:v>
      </x:c>
      <x:c r="R380" s="196" t="n">
        <x:f>J380-K380-L380</x:f>
        <x:v>0</x:v>
      </x:c>
    </x:row>
    <x:row r="381">
      <x:c r="A381" s="20" t="str">
        <x:v>標準</x:v>
      </x:c>
      <x:c r="B381" s="20" t="n">
        <x:v>12</x:v>
      </x:c>
      <x:c r="C381" s="20" t="n">
        <x:v>5</x:v>
      </x:c>
      <x:c r="D381" s="189" t="n">
        <x:v>1</x:v>
      </x:c>
      <x:c r="E381" s="189" t="n">
        <x:v>1</x:v>
      </x:c>
      <x:c r="F381" s="189" t="n">
        <x:f>MAX(MIN('詳細設定'!$D$15+0,1),0)</x:f>
        <x:v>0.4</x:v>
      </x:c>
      <x:c r="G381" s="563" t="n">
        <x:f>'_計算月次'!$J$9</x:f>
        <x:v>552.2367574934775</x:v>
      </x:c>
      <x:c r="H381" s="563" t="n">
        <x:f>'_計算月次'!$K$9</x:f>
        <x:v>315.00000000000006</x:v>
      </x:c>
      <x:c r="I381" s="563" t="n">
        <x:f>(1-MAX(MIN('詳細設定'!$D$16,0.999999),0))^(B381-1)</x:f>
        <x:v>1</x:v>
      </x:c>
      <x:c r="J381" s="563" t="n">
        <x:f>MAX(G381*D381*I381,0)</x:f>
        <x:v>552.2367574934775</x:v>
      </x:c>
      <x:c r="K381" s="563" t="n">
        <x:f>MAX(MIN(J381*F381,H381),0)</x:f>
        <x:v>220.89470299739102</x:v>
      </x:c>
      <x:c r="L381" s="563" t="n">
        <x:f>MAX(J381-K381,0)</x:f>
        <x:v>331.34205449608646</x:v>
      </x:c>
      <x:c r="M381" s="185" t="n">
        <x:f>MAX('詳細設定'!$D$6,0)*(1+'詳細設定'!$D$21)^(B381-1)</x:f>
        <x:v>39.04839213328608</x:v>
      </x:c>
      <x:c r="N381" s="185" t="n">
        <x:f>IF(B381&lt;=MAX(MIN('詳細設定'!$D$8,20),0),MAX('詳細設定'!$D$7,0),IF(B381&lt;=MAX(MIN('詳細設定'!$D$10,20),0),MAX('詳細設定'!$D$9,0),MAX('詳細設定'!$D$11,0)))</x:f>
        <x:v>8.3</x:v>
      </x:c>
      <x:c r="O381" s="190" t="n">
        <x:f>K381*M381</x:f>
        <x:v>8625.582982807888</x:v>
      </x:c>
      <x:c r="P381" s="190" t="n">
        <x:f>L381*N381</x:f>
        <x:v>2750.139052317518</x:v>
      </x:c>
      <x:c r="Q381" s="190" t="n">
        <x:f>O381+P381</x:f>
        <x:v>11375.722035125405</x:v>
      </x:c>
      <x:c r="R381" s="196" t="n">
        <x:f>J381-K381-L381</x:f>
        <x:v>0</x:v>
      </x:c>
    </x:row>
    <x:row r="382">
      <x:c r="A382" s="20" t="str">
        <x:v>標準</x:v>
      </x:c>
      <x:c r="B382" s="20" t="n">
        <x:v>12</x:v>
      </x:c>
      <x:c r="C382" s="20" t="n">
        <x:v>6</x:v>
      </x:c>
      <x:c r="D382" s="189" t="n">
        <x:v>1</x:v>
      </x:c>
      <x:c r="E382" s="189" t="n">
        <x:v>1</x:v>
      </x:c>
      <x:c r="F382" s="189" t="n">
        <x:f>MAX(MIN('詳細設定'!$D$15+0,1),0)</x:f>
        <x:v>0.4</x:v>
      </x:c>
      <x:c r="G382" s="563" t="n">
        <x:f>'_計算月次'!$J$10</x:f>
        <x:v>448.7994857612148</x:v>
      </x:c>
      <x:c r="H382" s="563" t="n">
        <x:f>'_計算月次'!$K$10</x:f>
        <x:v>360</x:v>
      </x:c>
      <x:c r="I382" s="563" t="n">
        <x:f>(1-MAX(MIN('詳細設定'!$D$16,0.999999),0))^(B382-1)</x:f>
        <x:v>1</x:v>
      </x:c>
      <x:c r="J382" s="563" t="n">
        <x:f>MAX(G382*D382*I382,0)</x:f>
        <x:v>448.7994857612148</x:v>
      </x:c>
      <x:c r="K382" s="563" t="n">
        <x:f>MAX(MIN(J382*F382,H382),0)</x:f>
        <x:v>179.5197943044859</x:v>
      </x:c>
      <x:c r="L382" s="563" t="n">
        <x:f>MAX(J382-K382,0)</x:f>
        <x:v>269.27969145672887</x:v>
      </x:c>
      <x:c r="M382" s="185" t="n">
        <x:f>MAX('詳細設定'!$D$6,0)*(1+'詳細設定'!$D$21)^(B382-1)</x:f>
        <x:v>39.04839213328608</x:v>
      </x:c>
      <x:c r="N382" s="185" t="n">
        <x:f>IF(B382&lt;=MAX(MIN('詳細設定'!$D$8,20),0),MAX('詳細設定'!$D$7,0),IF(B382&lt;=MAX(MIN('詳細設定'!$D$10,20),0),MAX('詳細設定'!$D$9,0),MAX('詳細設定'!$D$11,0)))</x:f>
        <x:v>8.3</x:v>
      </x:c>
      <x:c r="O382" s="190" t="n">
        <x:f>K382*M382</x:f>
        <x:v>7009.959323688423</x:v>
      </x:c>
      <x:c r="P382" s="190" t="n">
        <x:f>L382*N382</x:f>
        <x:v>2235.02143909085</x:v>
      </x:c>
      <x:c r="Q382" s="190" t="n">
        <x:f>O382+P382</x:f>
        <x:v>9244.980762779272</x:v>
      </x:c>
      <x:c r="R382" s="196" t="n">
        <x:f>J382-K382-L382</x:f>
        <x:v>0</x:v>
      </x:c>
    </x:row>
    <x:row r="383">
      <x:c r="A383" s="20" t="str">
        <x:v>標準</x:v>
      </x:c>
      <x:c r="B383" s="20" t="n">
        <x:v>12</x:v>
      </x:c>
      <x:c r="C383" s="20" t="n">
        <x:v>7</x:v>
      </x:c>
      <x:c r="D383" s="189" t="n">
        <x:v>1</x:v>
      </x:c>
      <x:c r="E383" s="189" t="n">
        <x:v>1</x:v>
      </x:c>
      <x:c r="F383" s="189" t="n">
        <x:f>MAX(MIN('詳細設定'!$D$15+0,1),0)</x:f>
        <x:v>0.4</x:v>
      </x:c>
      <x:c r="G383" s="563" t="n">
        <x:f>'_計算月次'!$J$11</x:f>
        <x:v>476.0181638067866</x:v>
      </x:c>
      <x:c r="H383" s="563" t="n">
        <x:f>'_計算月次'!$K$11</x:f>
        <x:v>405</x:v>
      </x:c>
      <x:c r="I383" s="563" t="n">
        <x:f>(1-MAX(MIN('詳細設定'!$D$16,0.999999),0))^(B383-1)</x:f>
        <x:v>1</x:v>
      </x:c>
      <x:c r="J383" s="563" t="n">
        <x:f>MAX(G383*D383*I383,0)</x:f>
        <x:v>476.0181638067866</x:v>
      </x:c>
      <x:c r="K383" s="563" t="n">
        <x:f>MAX(MIN(J383*F383,H383),0)</x:f>
        <x:v>190.40726552271465</x:v>
      </x:c>
      <x:c r="L383" s="563" t="n">
        <x:f>MAX(J383-K383,0)</x:f>
        <x:v>285.61089828407194</x:v>
      </x:c>
      <x:c r="M383" s="185" t="n">
        <x:f>MAX('詳細設定'!$D$6,0)*(1+'詳細設定'!$D$21)^(B383-1)</x:f>
        <x:v>39.04839213328608</x:v>
      </x:c>
      <x:c r="N383" s="185" t="n">
        <x:f>IF(B383&lt;=MAX(MIN('詳細設定'!$D$8,20),0),MAX('詳細設定'!$D$7,0),IF(B383&lt;=MAX(MIN('詳細設定'!$D$10,20),0),MAX('詳細設定'!$D$9,0),MAX('詳細設定'!$D$11,0)))</x:f>
        <x:v>8.3</x:v>
      </x:c>
      <x:c r="O383" s="190" t="n">
        <x:f>K383*M383</x:f>
        <x:v>7435.097569157684</x:v>
      </x:c>
      <x:c r="P383" s="190" t="n">
        <x:f>L383*N383</x:f>
        <x:v>2370.5704557577974</x:v>
      </x:c>
      <x:c r="Q383" s="190" t="n">
        <x:f>O383+P383</x:f>
        <x:v>9805.668024915482</x:v>
      </x:c>
      <x:c r="R383" s="196" t="n">
        <x:f>J383-K383-L383</x:f>
        <x:v>0</x:v>
      </x:c>
    </x:row>
    <x:row r="384">
      <x:c r="A384" s="20" t="str">
        <x:v>標準</x:v>
      </x:c>
      <x:c r="B384" s="20" t="n">
        <x:v>12</x:v>
      </x:c>
      <x:c r="C384" s="20" t="n">
        <x:v>8</x:v>
      </x:c>
      <x:c r="D384" s="189" t="n">
        <x:v>1</x:v>
      </x:c>
      <x:c r="E384" s="189" t="n">
        <x:v>1</x:v>
      </x:c>
      <x:c r="F384" s="189" t="n">
        <x:f>MAX(MIN('詳細設定'!$D$15+0,1),0)</x:f>
        <x:v>0.4</x:v>
      </x:c>
      <x:c r="G384" s="563" t="n">
        <x:f>'_計算月次'!$J$12</x:f>
        <x:v>528.6548067323699</x:v>
      </x:c>
      <x:c r="H384" s="563" t="n">
        <x:f>'_計算月次'!$K$12</x:f>
        <x:v>450</x:v>
      </x:c>
      <x:c r="I384" s="563" t="n">
        <x:f>(1-MAX(MIN('詳細設定'!$D$16,0.999999),0))^(B384-1)</x:f>
        <x:v>1</x:v>
      </x:c>
      <x:c r="J384" s="563" t="n">
        <x:f>MAX(G384*D384*I384,0)</x:f>
        <x:v>528.6548067323699</x:v>
      </x:c>
      <x:c r="K384" s="563" t="n">
        <x:f>MAX(MIN(J384*F384,H384),0)</x:f>
        <x:v>211.46192269294798</x:v>
      </x:c>
      <x:c r="L384" s="563" t="n">
        <x:f>MAX(J384-K384,0)</x:f>
        <x:v>317.192884039422</x:v>
      </x:c>
      <x:c r="M384" s="185" t="n">
        <x:f>MAX('詳細設定'!$D$6,0)*(1+'詳細設定'!$D$21)^(B384-1)</x:f>
        <x:v>39.04839213328608</x:v>
      </x:c>
      <x:c r="N384" s="185" t="n">
        <x:f>IF(B384&lt;=MAX(MIN('詳細設定'!$D$8,20),0),MAX('詳細設定'!$D$7,0),IF(B384&lt;=MAX(MIN('詳細設定'!$D$10,20),0),MAX('詳細設定'!$D$9,0),MAX('詳細設定'!$D$11,0)))</x:f>
        <x:v>8.3</x:v>
      </x:c>
      <x:c r="O384" s="190" t="n">
        <x:f>K384*M384</x:f>
        <x:v>8257.248078572859</x:v>
      </x:c>
      <x:c r="P384" s="190" t="n">
        <x:f>L384*N384</x:f>
        <x:v>2632.7009375272028</x:v>
      </x:c>
      <x:c r="Q384" s="190" t="n">
        <x:f>O384+P384</x:f>
        <x:v>10889.949016100061</x:v>
      </x:c>
      <x:c r="R384" s="196" t="n">
        <x:f>J384-K384-L384</x:f>
        <x:v>0</x:v>
      </x:c>
    </x:row>
    <x:row r="385">
      <x:c r="A385" s="20" t="str">
        <x:v>標準</x:v>
      </x:c>
      <x:c r="B385" s="20" t="n">
        <x:v>12</x:v>
      </x:c>
      <x:c r="C385" s="20" t="n">
        <x:v>9</x:v>
      </x:c>
      <x:c r="D385" s="189" t="n">
        <x:v>1</x:v>
      </x:c>
      <x:c r="E385" s="189" t="n">
        <x:v>1</x:v>
      </x:c>
      <x:c r="F385" s="189" t="n">
        <x:f>MAX(MIN('詳細設定'!$D$15+0,1),0)</x:f>
        <x:v>0.4</x:v>
      </x:c>
      <x:c r="G385" s="563" t="n">
        <x:f>'_計算月次'!$J$13</x:f>
        <x:v>436.37734765103465</x:v>
      </x:c>
      <x:c r="H385" s="563" t="n">
        <x:f>'_計算月次'!$K$13</x:f>
        <x:v>360</x:v>
      </x:c>
      <x:c r="I385" s="563" t="n">
        <x:f>(1-MAX(MIN('詳細設定'!$D$16,0.999999),0))^(B385-1)</x:f>
        <x:v>1</x:v>
      </x:c>
      <x:c r="J385" s="563" t="n">
        <x:f>MAX(G385*D385*I385,0)</x:f>
        <x:v>436.37734765103465</x:v>
      </x:c>
      <x:c r="K385" s="563" t="n">
        <x:f>MAX(MIN(J385*F385,H385),0)</x:f>
        <x:v>174.55093906041387</x:v>
      </x:c>
      <x:c r="L385" s="563" t="n">
        <x:f>MAX(J385-K385,0)</x:f>
        <x:v>261.82640859062076</x:v>
      </x:c>
      <x:c r="M385" s="185" t="n">
        <x:f>MAX('詳細設定'!$D$6,0)*(1+'詳細設定'!$D$21)^(B385-1)</x:f>
        <x:v>39.04839213328608</x:v>
      </x:c>
      <x:c r="N385" s="185" t="n">
        <x:f>IF(B385&lt;=MAX(MIN('詳細設定'!$D$8,20),0),MAX('詳細設定'!$D$7,0),IF(B385&lt;=MAX(MIN('詳細設定'!$D$10,20),0),MAX('詳細設定'!$D$9,0),MAX('詳細設定'!$D$11,0)))</x:f>
        <x:v>8.3</x:v>
      </x:c>
      <x:c r="O385" s="190" t="n">
        <x:f>K385*M385</x:f>
        <x:v>6815.933515664363</x:v>
      </x:c>
      <x:c r="P385" s="190" t="n">
        <x:f>L385*N385</x:f>
        <x:v>2173.1591913021525</x:v>
      </x:c>
      <x:c r="Q385" s="190" t="n">
        <x:f>O385+P385</x:f>
        <x:v>8989.092706966516</x:v>
      </x:c>
      <x:c r="R385" s="196" t="n">
        <x:f>J385-K385-L385</x:f>
        <x:v>0</x:v>
      </x:c>
    </x:row>
    <x:row r="386">
      <x:c r="A386" s="20" t="str">
        <x:v>標準</x:v>
      </x:c>
      <x:c r="B386" s="20" t="n">
        <x:v>12</x:v>
      </x:c>
      <x:c r="C386" s="20" t="n">
        <x:v>10</x:v>
      </x:c>
      <x:c r="D386" s="189" t="n">
        <x:v>1</x:v>
      </x:c>
      <x:c r="E386" s="189" t="n">
        <x:v>1</x:v>
      </x:c>
      <x:c r="F386" s="189" t="n">
        <x:f>MAX(MIN('詳細設定'!$D$15+0,1),0)</x:f>
        <x:v>0.4</x:v>
      </x:c>
      <x:c r="G386" s="563" t="n">
        <x:f>'_計算月次'!$J$14</x:f>
        <x:v>408.8269849869007</x:v>
      </x:c>
      <x:c r="H386" s="563" t="n">
        <x:f>'_計算月次'!$K$14</x:f>
        <x:v>315.00000000000006</x:v>
      </x:c>
      <x:c r="I386" s="563" t="n">
        <x:f>(1-MAX(MIN('詳細設定'!$D$16,0.999999),0))^(B386-1)</x:f>
        <x:v>1</x:v>
      </x:c>
      <x:c r="J386" s="563" t="n">
        <x:f>MAX(G386*D386*I386,0)</x:f>
        <x:v>408.8269849869007</x:v>
      </x:c>
      <x:c r="K386" s="563" t="n">
        <x:f>MAX(MIN(J386*F386,H386),0)</x:f>
        <x:v>163.5307939947603</x:v>
      </x:c>
      <x:c r="L386" s="563" t="n">
        <x:f>MAX(J386-K386,0)</x:f>
        <x:v>245.2961909921404</x:v>
      </x:c>
      <x:c r="M386" s="185" t="n">
        <x:f>MAX('詳細設定'!$D$6,0)*(1+'詳細設定'!$D$21)^(B386-1)</x:f>
        <x:v>39.04839213328608</x:v>
      </x:c>
      <x:c r="N386" s="185" t="n">
        <x:f>IF(B386&lt;=MAX(MIN('詳細設定'!$D$8,20),0),MAX('詳細設定'!$D$7,0),IF(B386&lt;=MAX(MIN('詳細設定'!$D$10,20),0),MAX('詳細設定'!$D$9,0),MAX('詳細設定'!$D$11,0)))</x:f>
        <x:v>8.3</x:v>
      </x:c>
      <x:c r="O386" s="190" t="n">
        <x:f>K386*M386</x:f>
        <x:v>6385.614569775024</x:v>
      </x:c>
      <x:c r="P386" s="190" t="n">
        <x:f>L386*N386</x:f>
        <x:v>2035.9583852347655</x:v>
      </x:c>
      <x:c r="Q386" s="190" t="n">
        <x:f>O386+P386</x:f>
        <x:v>8421.57295500979</x:v>
      </x:c>
      <x:c r="R386" s="196" t="n">
        <x:f>J386-K386-L386</x:f>
        <x:v>0</x:v>
      </x:c>
    </x:row>
    <x:row r="387">
      <x:c r="A387" s="20" t="str">
        <x:v>標準</x:v>
      </x:c>
      <x:c r="B387" s="20" t="n">
        <x:v>12</x:v>
      </x:c>
      <x:c r="C387" s="20" t="n">
        <x:v>11</x:v>
      </x:c>
      <x:c r="D387" s="189" t="n">
        <x:v>1</x:v>
      </x:c>
      <x:c r="E387" s="189" t="n">
        <x:v>1</x:v>
      </x:c>
      <x:c r="F387" s="189" t="n">
        <x:f>MAX(MIN('詳細設定'!$D$15+0,1),0)</x:f>
        <x:v>0.4</x:v>
      </x:c>
      <x:c r="G387" s="563" t="n">
        <x:f>'_計算月次'!$J$15</x:f>
        <x:v>398.45169764745054</x:v>
      </x:c>
      <x:c r="H387" s="563" t="n">
        <x:f>'_計算月次'!$K$15</x:f>
        <x:v>360</x:v>
      </x:c>
      <x:c r="I387" s="563" t="n">
        <x:f>(1-MAX(MIN('詳細設定'!$D$16,0.999999),0))^(B387-1)</x:f>
        <x:v>1</x:v>
      </x:c>
      <x:c r="J387" s="563" t="n">
        <x:f>MAX(G387*D387*I387,0)</x:f>
        <x:v>398.45169764745054</x:v>
      </x:c>
      <x:c r="K387" s="563" t="n">
        <x:f>MAX(MIN(J387*F387,H387),0)</x:f>
        <x:v>159.38067905898023</x:v>
      </x:c>
      <x:c r="L387" s="563" t="n">
        <x:f>MAX(J387-K387,0)</x:f>
        <x:v>239.0710185884703</x:v>
      </x:c>
      <x:c r="M387" s="185" t="n">
        <x:f>MAX('詳細設定'!$D$6,0)*(1+'詳細設定'!$D$21)^(B387-1)</x:f>
        <x:v>39.04839213328608</x:v>
      </x:c>
      <x:c r="N387" s="185" t="n">
        <x:f>IF(B387&lt;=MAX(MIN('詳細設定'!$D$8,20),0),MAX('詳細設定'!$D$7,0),IF(B387&lt;=MAX(MIN('詳細設定'!$D$10,20),0),MAX('詳細設定'!$D$9,0),MAX('詳細設定'!$D$11,0)))</x:f>
        <x:v>8.3</x:v>
      </x:c>
      <x:c r="O387" s="190" t="n">
        <x:f>K387*M387</x:f>
        <x:v>6223.559254364477</x:v>
      </x:c>
      <x:c r="P387" s="190" t="n">
        <x:f>L387*N387</x:f>
        <x:v>1984.2894542843037</x:v>
      </x:c>
      <x:c r="Q387" s="190" t="n">
        <x:f>O387+P387</x:f>
        <x:v>8207.84870864878</x:v>
      </x:c>
      <x:c r="R387" s="196" t="n">
        <x:f>J387-K387-L387</x:f>
        <x:v>0</x:v>
      </x:c>
    </x:row>
    <x:row r="388">
      <x:c r="A388" s="20" t="str">
        <x:v>標準</x:v>
      </x:c>
      <x:c r="B388" s="20" t="n">
        <x:v>12</x:v>
      </x:c>
      <x:c r="C388" s="20" t="n">
        <x:v>12</x:v>
      </x:c>
      <x:c r="D388" s="189" t="n">
        <x:v>1</x:v>
      </x:c>
      <x:c r="E388" s="189" t="n">
        <x:v>1</x:v>
      </x:c>
      <x:c r="F388" s="189" t="n">
        <x:f>MAX(MIN('詳細設定'!$D$15+0,1),0)</x:f>
        <x:v>0.4</x:v>
      </x:c>
      <x:c r="G388" s="563" t="n">
        <x:f>'_計算月次'!$J$16</x:f>
        <x:v>443.97248688000184</x:v>
      </x:c>
      <x:c r="H388" s="563" t="n">
        <x:f>'_計算月次'!$K$16</x:f>
        <x:v>405</x:v>
      </x:c>
      <x:c r="I388" s="563" t="n">
        <x:f>(1-MAX(MIN('詳細設定'!$D$16,0.999999),0))^(B388-1)</x:f>
        <x:v>1</x:v>
      </x:c>
      <x:c r="J388" s="563" t="n">
        <x:f>MAX(G388*D388*I388,0)</x:f>
        <x:v>443.97248688000184</x:v>
      </x:c>
      <x:c r="K388" s="563" t="n">
        <x:f>MAX(MIN(J388*F388,H388),0)</x:f>
        <x:v>177.58899475200076</x:v>
      </x:c>
      <x:c r="L388" s="563" t="n">
        <x:f>MAX(J388-K388,0)</x:f>
        <x:v>266.3834921280011</x:v>
      </x:c>
      <x:c r="M388" s="185" t="n">
        <x:f>MAX('詳細設定'!$D$6,0)*(1+'詳細設定'!$D$21)^(B388-1)</x:f>
        <x:v>39.04839213328608</x:v>
      </x:c>
      <x:c r="N388" s="185" t="n">
        <x:f>IF(B388&lt;=MAX(MIN('詳細設定'!$D$8,20),0),MAX('詳細設定'!$D$7,0),IF(B388&lt;=MAX(MIN('詳細設定'!$D$10,20),0),MAX('詳細設定'!$D$9,0),MAX('詳細設定'!$D$11,0)))</x:f>
        <x:v>8.3</x:v>
      </x:c>
      <x:c r="O388" s="190" t="n">
        <x:f>K388*M388</x:f>
        <x:v>6934.56470563221</x:v>
      </x:c>
      <x:c r="P388" s="190" t="n">
        <x:f>L388*N388</x:f>
        <x:v>2210.9829846624093</x:v>
      </x:c>
      <x:c r="Q388" s="190" t="n">
        <x:f>O388+P388</x:f>
        <x:v>9145.54769029462</x:v>
      </x:c>
      <x:c r="R388" s="196" t="n">
        <x:f>J388-K388-L388</x:f>
        <x:v>0</x:v>
      </x:c>
    </x:row>
    <x:row r="389">
      <x:c r="A389" s="20" t="str">
        <x:v>標準</x:v>
      </x:c>
      <x:c r="B389" s="20" t="n">
        <x:v>13</x:v>
      </x:c>
      <x:c r="C389" s="20" t="n">
        <x:v>1</x:v>
      </x:c>
      <x:c r="D389" s="189" t="n">
        <x:v>1</x:v>
      </x:c>
      <x:c r="E389" s="189" t="n">
        <x:v>1</x:v>
      </x:c>
      <x:c r="F389" s="189" t="n">
        <x:f>MAX(MIN('詳細設定'!$D$15+0,1),0)</x:f>
        <x:v>0.4</x:v>
      </x:c>
      <x:c r="G389" s="563" t="n">
        <x:f>'_計算月次'!$J$5</x:f>
        <x:v>502.4147595742038</x:v>
      </x:c>
      <x:c r="H389" s="563" t="n">
        <x:f>'_計算月次'!$K$5</x:f>
        <x:v>450</x:v>
      </x:c>
      <x:c r="I389" s="563" t="n">
        <x:f>(1-MAX(MIN('詳細設定'!$D$16,0.999999),0))^(B389-1)</x:f>
        <x:v>1</x:v>
      </x:c>
      <x:c r="J389" s="563" t="n">
        <x:f>MAX(G389*D389*I389,0)</x:f>
        <x:v>502.4147595742038</x:v>
      </x:c>
      <x:c r="K389" s="563" t="n">
        <x:f>MAX(MIN(J389*F389,H389),0)</x:f>
        <x:v>200.96590382968154</x:v>
      </x:c>
      <x:c r="L389" s="563" t="n">
        <x:f>MAX(J389-K389,0)</x:f>
        <x:v>301.44885574452223</x:v>
      </x:c>
      <x:c r="M389" s="185" t="n">
        <x:f>MAX('詳細設定'!$D$6,0)*(1+'詳細設定'!$D$21)^(B389-1)</x:f>
        <x:v>39.438876054618945</x:v>
      </x:c>
      <x:c r="N389" s="185" t="n">
        <x:f>IF(B389&lt;=MAX(MIN('詳細設定'!$D$8,20),0),MAX('詳細設定'!$D$7,0),IF(B389&lt;=MAX(MIN('詳細設定'!$D$10,20),0),MAX('詳細設定'!$D$9,0),MAX('詳細設定'!$D$11,0)))</x:f>
        <x:v>8.3</x:v>
      </x:c>
      <x:c r="O389" s="190" t="n">
        <x:f>K389*M389</x:f>
        <x:v>7925.869372343281</x:v>
      </x:c>
      <x:c r="P389" s="190" t="n">
        <x:f>L389*N389</x:f>
        <x:v>2502.025502679535</x:v>
      </x:c>
      <x:c r="Q389" s="190" t="n">
        <x:f>O389+P389</x:f>
        <x:v>10427.894875022816</x:v>
      </x:c>
      <x:c r="R389" s="196" t="n">
        <x:f>J389-K389-L389</x:f>
        <x:v>0</x:v>
      </x:c>
    </x:row>
    <x:row r="390">
      <x:c r="A390" s="20" t="str">
        <x:v>標準</x:v>
      </x:c>
      <x:c r="B390" s="20" t="n">
        <x:v>13</x:v>
      </x:c>
      <x:c r="C390" s="20" t="n">
        <x:v>2</x:v>
      </x:c>
      <x:c r="D390" s="189" t="n">
        <x:v>1</x:v>
      </x:c>
      <x:c r="E390" s="189" t="n">
        <x:v>1</x:v>
      </x:c>
      <x:c r="F390" s="189" t="n">
        <x:f>MAX(MIN('詳細設定'!$D$15+0,1),0)</x:f>
        <x:v>0.4</x:v>
      </x:c>
      <x:c r="G390" s="563" t="n">
        <x:f>'_計算月次'!$J$6</x:f>
        <x:v>472.4508339500229</x:v>
      </x:c>
      <x:c r="H390" s="563" t="n">
        <x:f>'_計算月次'!$K$6</x:f>
        <x:v>405</x:v>
      </x:c>
      <x:c r="I390" s="563" t="n">
        <x:f>(1-MAX(MIN('詳細設定'!$D$16,0.999999),0))^(B390-1)</x:f>
        <x:v>1</x:v>
      </x:c>
      <x:c r="J390" s="563" t="n">
        <x:f>MAX(G390*D390*I390,0)</x:f>
        <x:v>472.4508339500229</x:v>
      </x:c>
      <x:c r="K390" s="563" t="n">
        <x:f>MAX(MIN(J390*F390,H390),0)</x:f>
        <x:v>188.9803335800092</x:v>
      </x:c>
      <x:c r="L390" s="563" t="n">
        <x:f>MAX(J390-K390,0)</x:f>
        <x:v>283.4705003700137</x:v>
      </x:c>
      <x:c r="M390" s="185" t="n">
        <x:f>MAX('詳細設定'!$D$6,0)*(1+'詳細設定'!$D$21)^(B390-1)</x:f>
        <x:v>39.438876054618945</x:v>
      </x:c>
      <x:c r="N390" s="185" t="n">
        <x:f>IF(B390&lt;=MAX(MIN('詳細設定'!$D$8,20),0),MAX('詳細設定'!$D$7,0),IF(B390&lt;=MAX(MIN('詳細設定'!$D$10,20),0),MAX('詳細設定'!$D$9,0),MAX('詳細設定'!$D$11,0)))</x:f>
        <x:v>8.3</x:v>
      </x:c>
      <x:c r="O390" s="190" t="n">
        <x:f>K390*M390</x:f>
        <x:v>7453.171952822525</x:v>
      </x:c>
      <x:c r="P390" s="190" t="n">
        <x:f>L390*N390</x:f>
        <x:v>2352.805153071114</x:v>
      </x:c>
      <x:c r="Q390" s="190" t="n">
        <x:f>O390+P390</x:f>
        <x:v>9805.977105893639</x:v>
      </x:c>
      <x:c r="R390" s="196" t="n">
        <x:f>J390-K390-L390</x:f>
        <x:v>0</x:v>
      </x:c>
    </x:row>
    <x:row r="391">
      <x:c r="A391" s="20" t="str">
        <x:v>標準</x:v>
      </x:c>
      <x:c r="B391" s="20" t="n">
        <x:v>13</x:v>
      </x:c>
      <x:c r="C391" s="20" t="n">
        <x:v>3</x:v>
      </x:c>
      <x:c r="D391" s="189" t="n">
        <x:v>1</x:v>
      </x:c>
      <x:c r="E391" s="189" t="n">
        <x:v>1</x:v>
      </x:c>
      <x:c r="F391" s="189" t="n">
        <x:f>MAX(MIN('詳細設定'!$D$15+0,1),0)</x:f>
        <x:v>0.4</x:v>
      </x:c>
      <x:c r="G391" s="563" t="n">
        <x:f>'_計算月次'!$J$7</x:f>
        <x:v>548.3418864753118</x:v>
      </x:c>
      <x:c r="H391" s="563" t="n">
        <x:f>'_計算月次'!$K$7</x:f>
        <x:v>360</x:v>
      </x:c>
      <x:c r="I391" s="563" t="n">
        <x:f>(1-MAX(MIN('詳細設定'!$D$16,0.999999),0))^(B391-1)</x:f>
        <x:v>1</x:v>
      </x:c>
      <x:c r="J391" s="563" t="n">
        <x:f>MAX(G391*D391*I391,0)</x:f>
        <x:v>548.3418864753118</x:v>
      </x:c>
      <x:c r="K391" s="563" t="n">
        <x:f>MAX(MIN(J391*F391,H391),0)</x:f>
        <x:v>219.3367545901247</x:v>
      </x:c>
      <x:c r="L391" s="563" t="n">
        <x:f>MAX(J391-K391,0)</x:f>
        <x:v>329.00513188518704</x:v>
      </x:c>
      <x:c r="M391" s="185" t="n">
        <x:f>MAX('詳細設定'!$D$6,0)*(1+'詳細設定'!$D$21)^(B391-1)</x:f>
        <x:v>39.438876054618945</x:v>
      </x:c>
      <x:c r="N391" s="185" t="n">
        <x:f>IF(B391&lt;=MAX(MIN('詳細設定'!$D$8,20),0),MAX('詳細設定'!$D$7,0),IF(B391&lt;=MAX(MIN('詳細設定'!$D$10,20),0),MAX('詳細設定'!$D$9,0),MAX('詳細設定'!$D$11,0)))</x:f>
        <x:v>8.3</x:v>
      </x:c>
      <x:c r="O391" s="190" t="n">
        <x:f>K391*M391</x:f>
        <x:v>8650.3950785023</x:v>
      </x:c>
      <x:c r="P391" s="190" t="n">
        <x:f>L391*N391</x:f>
        <x:v>2730.7425946470526</x:v>
      </x:c>
      <x:c r="Q391" s="190" t="n">
        <x:f>O391+P391</x:f>
        <x:v>11381.137673149353</x:v>
      </x:c>
      <x:c r="R391" s="196" t="n">
        <x:f>J391-K391-L391</x:f>
        <x:v>0</x:v>
      </x:c>
    </x:row>
    <x:row r="392">
      <x:c r="A392" s="20" t="str">
        <x:v>標準</x:v>
      </x:c>
      <x:c r="B392" s="20" t="n">
        <x:v>13</x:v>
      </x:c>
      <x:c r="C392" s="20" t="n">
        <x:v>4</x:v>
      </x:c>
      <x:c r="D392" s="189" t="n">
        <x:v>1</x:v>
      </x:c>
      <x:c r="E392" s="189" t="n">
        <x:v>1</x:v>
      </x:c>
      <x:c r="F392" s="189" t="n">
        <x:f>MAX(MIN('詳細設定'!$D$15+0,1),0)</x:f>
        <x:v>0.4</x:v>
      </x:c>
      <x:c r="G392" s="563" t="n">
        <x:f>'_計算月次'!$J$8</x:f>
        <x:v>548.3944393749554</x:v>
      </x:c>
      <x:c r="H392" s="563" t="n">
        <x:f>'_計算月次'!$K$8</x:f>
        <x:v>315.00000000000006</x:v>
      </x:c>
      <x:c r="I392" s="563" t="n">
        <x:f>(1-MAX(MIN('詳細設定'!$D$16,0.999999),0))^(B392-1)</x:f>
        <x:v>1</x:v>
      </x:c>
      <x:c r="J392" s="563" t="n">
        <x:f>MAX(G392*D392*I392,0)</x:f>
        <x:v>548.3944393749554</x:v>
      </x:c>
      <x:c r="K392" s="563" t="n">
        <x:f>MAX(MIN(J392*F392,H392),0)</x:f>
        <x:v>219.35777574998215</x:v>
      </x:c>
      <x:c r="L392" s="563" t="n">
        <x:f>MAX(J392-K392,0)</x:f>
        <x:v>329.03666362497324</x:v>
      </x:c>
      <x:c r="M392" s="185" t="n">
        <x:f>MAX('詳細設定'!$D$6,0)*(1+'詳細設定'!$D$21)^(B392-1)</x:f>
        <x:v>39.438876054618945</x:v>
      </x:c>
      <x:c r="N392" s="185" t="n">
        <x:f>IF(B392&lt;=MAX(MIN('詳細設定'!$D$8,20),0),MAX('詳細設定'!$D$7,0),IF(B392&lt;=MAX(MIN('詳細設定'!$D$10,20),0),MAX('詳細設定'!$D$9,0),MAX('詳細設定'!$D$11,0)))</x:f>
        <x:v>8.3</x:v>
      </x:c>
      <x:c r="O392" s="190" t="n">
        <x:f>K392*M392</x:f>
        <x:v>8651.224129420443</x:v>
      </x:c>
      <x:c r="P392" s="190" t="n">
        <x:f>L392*N392</x:f>
        <x:v>2731.0043080872783</x:v>
      </x:c>
      <x:c r="Q392" s="190" t="n">
        <x:f>O392+P392</x:f>
        <x:v>11382.228437507722</x:v>
      </x:c>
      <x:c r="R392" s="196" t="n">
        <x:f>J392-K392-L392</x:f>
        <x:v>0</x:v>
      </x:c>
    </x:row>
    <x:row r="393">
      <x:c r="A393" s="20" t="str">
        <x:v>標準</x:v>
      </x:c>
      <x:c r="B393" s="20" t="n">
        <x:v>13</x:v>
      </x:c>
      <x:c r="C393" s="20" t="n">
        <x:v>5</x:v>
      </x:c>
      <x:c r="D393" s="189" t="n">
        <x:v>1</x:v>
      </x:c>
      <x:c r="E393" s="189" t="n">
        <x:v>1</x:v>
      </x:c>
      <x:c r="F393" s="189" t="n">
        <x:f>MAX(MIN('詳細設定'!$D$15+0,1),0)</x:f>
        <x:v>0.4</x:v>
      </x:c>
      <x:c r="G393" s="563" t="n">
        <x:f>'_計算月次'!$J$9</x:f>
        <x:v>552.2367574934775</x:v>
      </x:c>
      <x:c r="H393" s="563" t="n">
        <x:f>'_計算月次'!$K$9</x:f>
        <x:v>315.00000000000006</x:v>
      </x:c>
      <x:c r="I393" s="563" t="n">
        <x:f>(1-MAX(MIN('詳細設定'!$D$16,0.999999),0))^(B393-1)</x:f>
        <x:v>1</x:v>
      </x:c>
      <x:c r="J393" s="563" t="n">
        <x:f>MAX(G393*D393*I393,0)</x:f>
        <x:v>552.2367574934775</x:v>
      </x:c>
      <x:c r="K393" s="563" t="n">
        <x:f>MAX(MIN(J393*F393,H393),0)</x:f>
        <x:v>220.89470299739102</x:v>
      </x:c>
      <x:c r="L393" s="563" t="n">
        <x:f>MAX(J393-K393,0)</x:f>
        <x:v>331.34205449608646</x:v>
      </x:c>
      <x:c r="M393" s="185" t="n">
        <x:f>MAX('詳細設定'!$D$6,0)*(1+'詳細設定'!$D$21)^(B393-1)</x:f>
        <x:v>39.438876054618945</x:v>
      </x:c>
      <x:c r="N393" s="185" t="n">
        <x:f>IF(B393&lt;=MAX(MIN('詳細設定'!$D$8,20),0),MAX('詳細設定'!$D$7,0),IF(B393&lt;=MAX(MIN('詳細設定'!$D$10,20),0),MAX('詳細設定'!$D$9,0),MAX('詳細設定'!$D$11,0)))</x:f>
        <x:v>8.3</x:v>
      </x:c>
      <x:c r="O393" s="190" t="n">
        <x:f>K393*M393</x:f>
        <x:v>8711.838812635968</x:v>
      </x:c>
      <x:c r="P393" s="190" t="n">
        <x:f>L393*N393</x:f>
        <x:v>2750.139052317518</x:v>
      </x:c>
      <x:c r="Q393" s="190" t="n">
        <x:f>O393+P393</x:f>
        <x:v>11461.977864953486</x:v>
      </x:c>
      <x:c r="R393" s="196" t="n">
        <x:f>J393-K393-L393</x:f>
        <x:v>0</x:v>
      </x:c>
    </x:row>
    <x:row r="394">
      <x:c r="A394" s="20" t="str">
        <x:v>標準</x:v>
      </x:c>
      <x:c r="B394" s="20" t="n">
        <x:v>13</x:v>
      </x:c>
      <x:c r="C394" s="20" t="n">
        <x:v>6</x:v>
      </x:c>
      <x:c r="D394" s="189" t="n">
        <x:v>1</x:v>
      </x:c>
      <x:c r="E394" s="189" t="n">
        <x:v>1</x:v>
      </x:c>
      <x:c r="F394" s="189" t="n">
        <x:f>MAX(MIN('詳細設定'!$D$15+0,1),0)</x:f>
        <x:v>0.4</x:v>
      </x:c>
      <x:c r="G394" s="563" t="n">
        <x:f>'_計算月次'!$J$10</x:f>
        <x:v>448.7994857612148</x:v>
      </x:c>
      <x:c r="H394" s="563" t="n">
        <x:f>'_計算月次'!$K$10</x:f>
        <x:v>360</x:v>
      </x:c>
      <x:c r="I394" s="563" t="n">
        <x:f>(1-MAX(MIN('詳細設定'!$D$16,0.999999),0))^(B394-1)</x:f>
        <x:v>1</x:v>
      </x:c>
      <x:c r="J394" s="563" t="n">
        <x:f>MAX(G394*D394*I394,0)</x:f>
        <x:v>448.7994857612148</x:v>
      </x:c>
      <x:c r="K394" s="563" t="n">
        <x:f>MAX(MIN(J394*F394,H394),0)</x:f>
        <x:v>179.5197943044859</x:v>
      </x:c>
      <x:c r="L394" s="563" t="n">
        <x:f>MAX(J394-K394,0)</x:f>
        <x:v>269.27969145672887</x:v>
      </x:c>
      <x:c r="M394" s="185" t="n">
        <x:f>MAX('詳細設定'!$D$6,0)*(1+'詳細設定'!$D$21)^(B394-1)</x:f>
        <x:v>39.438876054618945</x:v>
      </x:c>
      <x:c r="N394" s="185" t="n">
        <x:f>IF(B394&lt;=MAX(MIN('詳細設定'!$D$8,20),0),MAX('詳細設定'!$D$7,0),IF(B394&lt;=MAX(MIN('詳細設定'!$D$10,20),0),MAX('詳細設定'!$D$9,0),MAX('詳細設定'!$D$11,0)))</x:f>
        <x:v>8.3</x:v>
      </x:c>
      <x:c r="O394" s="190" t="n">
        <x:f>K394*M394</x:f>
        <x:v>7080.058916925308</x:v>
      </x:c>
      <x:c r="P394" s="190" t="n">
        <x:f>L394*N394</x:f>
        <x:v>2235.02143909085</x:v>
      </x:c>
      <x:c r="Q394" s="190" t="n">
        <x:f>O394+P394</x:f>
        <x:v>9315.080356016158</x:v>
      </x:c>
      <x:c r="R394" s="196" t="n">
        <x:f>J394-K394-L394</x:f>
        <x:v>0</x:v>
      </x:c>
    </x:row>
    <x:row r="395">
      <x:c r="A395" s="20" t="str">
        <x:v>標準</x:v>
      </x:c>
      <x:c r="B395" s="20" t="n">
        <x:v>13</x:v>
      </x:c>
      <x:c r="C395" s="20" t="n">
        <x:v>7</x:v>
      </x:c>
      <x:c r="D395" s="189" t="n">
        <x:v>1</x:v>
      </x:c>
      <x:c r="E395" s="189" t="n">
        <x:v>1</x:v>
      </x:c>
      <x:c r="F395" s="189" t="n">
        <x:f>MAX(MIN('詳細設定'!$D$15+0,1),0)</x:f>
        <x:v>0.4</x:v>
      </x:c>
      <x:c r="G395" s="563" t="n">
        <x:f>'_計算月次'!$J$11</x:f>
        <x:v>476.0181638067866</x:v>
      </x:c>
      <x:c r="H395" s="563" t="n">
        <x:f>'_計算月次'!$K$11</x:f>
        <x:v>405</x:v>
      </x:c>
      <x:c r="I395" s="563" t="n">
        <x:f>(1-MAX(MIN('詳細設定'!$D$16,0.999999),0))^(B395-1)</x:f>
        <x:v>1</x:v>
      </x:c>
      <x:c r="J395" s="563" t="n">
        <x:f>MAX(G395*D395*I395,0)</x:f>
        <x:v>476.0181638067866</x:v>
      </x:c>
      <x:c r="K395" s="563" t="n">
        <x:f>MAX(MIN(J395*F395,H395),0)</x:f>
        <x:v>190.40726552271465</x:v>
      </x:c>
      <x:c r="L395" s="563" t="n">
        <x:f>MAX(J395-K395,0)</x:f>
        <x:v>285.61089828407194</x:v>
      </x:c>
      <x:c r="M395" s="185" t="n">
        <x:f>MAX('詳細設定'!$D$6,0)*(1+'詳細設定'!$D$21)^(B395-1)</x:f>
        <x:v>39.438876054618945</x:v>
      </x:c>
      <x:c r="N395" s="185" t="n">
        <x:f>IF(B395&lt;=MAX(MIN('詳細設定'!$D$8,20),0),MAX('詳細設定'!$D$7,0),IF(B395&lt;=MAX(MIN('詳細設定'!$D$10,20),0),MAX('詳細設定'!$D$9,0),MAX('詳細設定'!$D$11,0)))</x:f>
        <x:v>8.3</x:v>
      </x:c>
      <x:c r="O395" s="190" t="n">
        <x:f>K395*M395</x:f>
        <x:v>7509.448544849262</x:v>
      </x:c>
      <x:c r="P395" s="190" t="n">
        <x:f>L395*N395</x:f>
        <x:v>2370.5704557577974</x:v>
      </x:c>
      <x:c r="Q395" s="190" t="n">
        <x:f>O395+P395</x:f>
        <x:v>9880.019000607059</x:v>
      </x:c>
      <x:c r="R395" s="196" t="n">
        <x:f>J395-K395-L395</x:f>
        <x:v>0</x:v>
      </x:c>
    </x:row>
    <x:row r="396">
      <x:c r="A396" s="20" t="str">
        <x:v>標準</x:v>
      </x:c>
      <x:c r="B396" s="20" t="n">
        <x:v>13</x:v>
      </x:c>
      <x:c r="C396" s="20" t="n">
        <x:v>8</x:v>
      </x:c>
      <x:c r="D396" s="189" t="n">
        <x:v>1</x:v>
      </x:c>
      <x:c r="E396" s="189" t="n">
        <x:v>1</x:v>
      </x:c>
      <x:c r="F396" s="189" t="n">
        <x:f>MAX(MIN('詳細設定'!$D$15+0,1),0)</x:f>
        <x:v>0.4</x:v>
      </x:c>
      <x:c r="G396" s="563" t="n">
        <x:f>'_計算月次'!$J$12</x:f>
        <x:v>528.6548067323699</x:v>
      </x:c>
      <x:c r="H396" s="563" t="n">
        <x:f>'_計算月次'!$K$12</x:f>
        <x:v>450</x:v>
      </x:c>
      <x:c r="I396" s="563" t="n">
        <x:f>(1-MAX(MIN('詳細設定'!$D$16,0.999999),0))^(B396-1)</x:f>
        <x:v>1</x:v>
      </x:c>
      <x:c r="J396" s="563" t="n">
        <x:f>MAX(G396*D396*I396,0)</x:f>
        <x:v>528.6548067323699</x:v>
      </x:c>
      <x:c r="K396" s="563" t="n">
        <x:f>MAX(MIN(J396*F396,H396),0)</x:f>
        <x:v>211.46192269294798</x:v>
      </x:c>
      <x:c r="L396" s="563" t="n">
        <x:f>MAX(J396-K396,0)</x:f>
        <x:v>317.192884039422</x:v>
      </x:c>
      <x:c r="M396" s="185" t="n">
        <x:f>MAX('詳細設定'!$D$6,0)*(1+'詳細設定'!$D$21)^(B396-1)</x:f>
        <x:v>39.438876054618945</x:v>
      </x:c>
      <x:c r="N396" s="185" t="n">
        <x:f>IF(B396&lt;=MAX(MIN('詳細設定'!$D$8,20),0),MAX('詳細設定'!$D$7,0),IF(B396&lt;=MAX(MIN('詳細設定'!$D$10,20),0),MAX('詳細設定'!$D$9,0),MAX('詳細設定'!$D$11,0)))</x:f>
        <x:v>8.3</x:v>
      </x:c>
      <x:c r="O396" s="190" t="n">
        <x:f>K396*M396</x:f>
        <x:v>8339.820559358588</x:v>
      </x:c>
      <x:c r="P396" s="190" t="n">
        <x:f>L396*N396</x:f>
        <x:v>2632.7009375272028</x:v>
      </x:c>
      <x:c r="Q396" s="190" t="n">
        <x:f>O396+P396</x:f>
        <x:v>10972.52149688579</x:v>
      </x:c>
      <x:c r="R396" s="196" t="n">
        <x:f>J396-K396-L396</x:f>
        <x:v>0</x:v>
      </x:c>
    </x:row>
    <x:row r="397">
      <x:c r="A397" s="20" t="str">
        <x:v>標準</x:v>
      </x:c>
      <x:c r="B397" s="20" t="n">
        <x:v>13</x:v>
      </x:c>
      <x:c r="C397" s="20" t="n">
        <x:v>9</x:v>
      </x:c>
      <x:c r="D397" s="189" t="n">
        <x:v>1</x:v>
      </x:c>
      <x:c r="E397" s="189" t="n">
        <x:v>1</x:v>
      </x:c>
      <x:c r="F397" s="189" t="n">
        <x:f>MAX(MIN('詳細設定'!$D$15+0,1),0)</x:f>
        <x:v>0.4</x:v>
      </x:c>
      <x:c r="G397" s="563" t="n">
        <x:f>'_計算月次'!$J$13</x:f>
        <x:v>436.37734765103465</x:v>
      </x:c>
      <x:c r="H397" s="563" t="n">
        <x:f>'_計算月次'!$K$13</x:f>
        <x:v>360</x:v>
      </x:c>
      <x:c r="I397" s="563" t="n">
        <x:f>(1-MAX(MIN('詳細設定'!$D$16,0.999999),0))^(B397-1)</x:f>
        <x:v>1</x:v>
      </x:c>
      <x:c r="J397" s="563" t="n">
        <x:f>MAX(G397*D397*I397,0)</x:f>
        <x:v>436.37734765103465</x:v>
      </x:c>
      <x:c r="K397" s="563" t="n">
        <x:f>MAX(MIN(J397*F397,H397),0)</x:f>
        <x:v>174.55093906041387</x:v>
      </x:c>
      <x:c r="L397" s="563" t="n">
        <x:f>MAX(J397-K397,0)</x:f>
        <x:v>261.82640859062076</x:v>
      </x:c>
      <x:c r="M397" s="185" t="n">
        <x:f>MAX('詳細設定'!$D$6,0)*(1+'詳細設定'!$D$21)^(B397-1)</x:f>
        <x:v>39.438876054618945</x:v>
      </x:c>
      <x:c r="N397" s="185" t="n">
        <x:f>IF(B397&lt;=MAX(MIN('詳細設定'!$D$8,20),0),MAX('詳細設定'!$D$7,0),IF(B397&lt;=MAX(MIN('詳細設定'!$D$10,20),0),MAX('詳細設定'!$D$9,0),MAX('詳細設定'!$D$11,0)))</x:f>
        <x:v>8.3</x:v>
      </x:c>
      <x:c r="O397" s="190" t="n">
        <x:f>K397*M397</x:f>
        <x:v>6884.092850821007</x:v>
      </x:c>
      <x:c r="P397" s="190" t="n">
        <x:f>L397*N397</x:f>
        <x:v>2173.1591913021525</x:v>
      </x:c>
      <x:c r="Q397" s="190" t="n">
        <x:f>O397+P397</x:f>
        <x:v>9057.25204212316</x:v>
      </x:c>
      <x:c r="R397" s="196" t="n">
        <x:f>J397-K397-L397</x:f>
        <x:v>0</x:v>
      </x:c>
    </x:row>
    <x:row r="398">
      <x:c r="A398" s="20" t="str">
        <x:v>標準</x:v>
      </x:c>
      <x:c r="B398" s="20" t="n">
        <x:v>13</x:v>
      </x:c>
      <x:c r="C398" s="20" t="n">
        <x:v>10</x:v>
      </x:c>
      <x:c r="D398" s="189" t="n">
        <x:v>1</x:v>
      </x:c>
      <x:c r="E398" s="189" t="n">
        <x:v>1</x:v>
      </x:c>
      <x:c r="F398" s="189" t="n">
        <x:f>MAX(MIN('詳細設定'!$D$15+0,1),0)</x:f>
        <x:v>0.4</x:v>
      </x:c>
      <x:c r="G398" s="563" t="n">
        <x:f>'_計算月次'!$J$14</x:f>
        <x:v>408.8269849869007</x:v>
      </x:c>
      <x:c r="H398" s="563" t="n">
        <x:f>'_計算月次'!$K$14</x:f>
        <x:v>315.00000000000006</x:v>
      </x:c>
      <x:c r="I398" s="563" t="n">
        <x:f>(1-MAX(MIN('詳細設定'!$D$16,0.999999),0))^(B398-1)</x:f>
        <x:v>1</x:v>
      </x:c>
      <x:c r="J398" s="563" t="n">
        <x:f>MAX(G398*D398*I398,0)</x:f>
        <x:v>408.8269849869007</x:v>
      </x:c>
      <x:c r="K398" s="563" t="n">
        <x:f>MAX(MIN(J398*F398,H398),0)</x:f>
        <x:v>163.5307939947603</x:v>
      </x:c>
      <x:c r="L398" s="563" t="n">
        <x:f>MAX(J398-K398,0)</x:f>
        <x:v>245.2961909921404</x:v>
      </x:c>
      <x:c r="M398" s="185" t="n">
        <x:f>MAX('詳細設定'!$D$6,0)*(1+'詳細設定'!$D$21)^(B398-1)</x:f>
        <x:v>39.438876054618945</x:v>
      </x:c>
      <x:c r="N398" s="185" t="n">
        <x:f>IF(B398&lt;=MAX(MIN('詳細設定'!$D$8,20),0),MAX('詳細設定'!$D$7,0),IF(B398&lt;=MAX(MIN('詳細設定'!$D$10,20),0),MAX('詳細設定'!$D$9,0),MAX('詳細設定'!$D$11,0)))</x:f>
        <x:v>8.3</x:v>
      </x:c>
      <x:c r="O398" s="190" t="n">
        <x:f>K398*M398</x:f>
        <x:v>6449.470715472776</x:v>
      </x:c>
      <x:c r="P398" s="190" t="n">
        <x:f>L398*N398</x:f>
        <x:v>2035.9583852347655</x:v>
      </x:c>
      <x:c r="Q398" s="190" t="n">
        <x:f>O398+P398</x:f>
        <x:v>8485.42910070754</x:v>
      </x:c>
      <x:c r="R398" s="196" t="n">
        <x:f>J398-K398-L398</x:f>
        <x:v>0</x:v>
      </x:c>
    </x:row>
    <x:row r="399">
      <x:c r="A399" s="20" t="str">
        <x:v>標準</x:v>
      </x:c>
      <x:c r="B399" s="20" t="n">
        <x:v>13</x:v>
      </x:c>
      <x:c r="C399" s="20" t="n">
        <x:v>11</x:v>
      </x:c>
      <x:c r="D399" s="189" t="n">
        <x:v>1</x:v>
      </x:c>
      <x:c r="E399" s="189" t="n">
        <x:v>1</x:v>
      </x:c>
      <x:c r="F399" s="189" t="n">
        <x:f>MAX(MIN('詳細設定'!$D$15+0,1),0)</x:f>
        <x:v>0.4</x:v>
      </x:c>
      <x:c r="G399" s="563" t="n">
        <x:f>'_計算月次'!$J$15</x:f>
        <x:v>398.45169764745054</x:v>
      </x:c>
      <x:c r="H399" s="563" t="n">
        <x:f>'_計算月次'!$K$15</x:f>
        <x:v>360</x:v>
      </x:c>
      <x:c r="I399" s="563" t="n">
        <x:f>(1-MAX(MIN('詳細設定'!$D$16,0.999999),0))^(B399-1)</x:f>
        <x:v>1</x:v>
      </x:c>
      <x:c r="J399" s="563" t="n">
        <x:f>MAX(G399*D399*I399,0)</x:f>
        <x:v>398.45169764745054</x:v>
      </x:c>
      <x:c r="K399" s="563" t="n">
        <x:f>MAX(MIN(J399*F399,H399),0)</x:f>
        <x:v>159.38067905898023</x:v>
      </x:c>
      <x:c r="L399" s="563" t="n">
        <x:f>MAX(J399-K399,0)</x:f>
        <x:v>239.0710185884703</x:v>
      </x:c>
      <x:c r="M399" s="185" t="n">
        <x:f>MAX('詳細設定'!$D$6,0)*(1+'詳細設定'!$D$21)^(B399-1)</x:f>
        <x:v>39.438876054618945</x:v>
      </x:c>
      <x:c r="N399" s="185" t="n">
        <x:f>IF(B399&lt;=MAX(MIN('詳細設定'!$D$8,20),0),MAX('詳細設定'!$D$7,0),IF(B399&lt;=MAX(MIN('詳細設定'!$D$10,20),0),MAX('詳細設定'!$D$9,0),MAX('詳細設定'!$D$11,0)))</x:f>
        <x:v>8.3</x:v>
      </x:c>
      <x:c r="O399" s="190" t="n">
        <x:f>K399*M399</x:f>
        <x:v>6285.794846908123</x:v>
      </x:c>
      <x:c r="P399" s="190" t="n">
        <x:f>L399*N399</x:f>
        <x:v>1984.2894542843037</x:v>
      </x:c>
      <x:c r="Q399" s="190" t="n">
        <x:f>O399+P399</x:f>
        <x:v>8270.084301192426</x:v>
      </x:c>
      <x:c r="R399" s="196" t="n">
        <x:f>J399-K399-L399</x:f>
        <x:v>0</x:v>
      </x:c>
    </x:row>
    <x:row r="400">
      <x:c r="A400" s="20" t="str">
        <x:v>標準</x:v>
      </x:c>
      <x:c r="B400" s="20" t="n">
        <x:v>13</x:v>
      </x:c>
      <x:c r="C400" s="20" t="n">
        <x:v>12</x:v>
      </x:c>
      <x:c r="D400" s="189" t="n">
        <x:v>1</x:v>
      </x:c>
      <x:c r="E400" s="189" t="n">
        <x:v>1</x:v>
      </x:c>
      <x:c r="F400" s="189" t="n">
        <x:f>MAX(MIN('詳細設定'!$D$15+0,1),0)</x:f>
        <x:v>0.4</x:v>
      </x:c>
      <x:c r="G400" s="563" t="n">
        <x:f>'_計算月次'!$J$16</x:f>
        <x:v>443.97248688000184</x:v>
      </x:c>
      <x:c r="H400" s="563" t="n">
        <x:f>'_計算月次'!$K$16</x:f>
        <x:v>405</x:v>
      </x:c>
      <x:c r="I400" s="563" t="n">
        <x:f>(1-MAX(MIN('詳細設定'!$D$16,0.999999),0))^(B400-1)</x:f>
        <x:v>1</x:v>
      </x:c>
      <x:c r="J400" s="563" t="n">
        <x:f>MAX(G400*D400*I400,0)</x:f>
        <x:v>443.97248688000184</x:v>
      </x:c>
      <x:c r="K400" s="563" t="n">
        <x:f>MAX(MIN(J400*F400,H400),0)</x:f>
        <x:v>177.58899475200076</x:v>
      </x:c>
      <x:c r="L400" s="563" t="n">
        <x:f>MAX(J400-K400,0)</x:f>
        <x:v>266.3834921280011</x:v>
      </x:c>
      <x:c r="M400" s="185" t="n">
        <x:f>MAX('詳細設定'!$D$6,0)*(1+'詳細設定'!$D$21)^(B400-1)</x:f>
        <x:v>39.438876054618945</x:v>
      </x:c>
      <x:c r="N400" s="185" t="n">
        <x:f>IF(B400&lt;=MAX(MIN('詳細設定'!$D$8,20),0),MAX('詳細設定'!$D$7,0),IF(B400&lt;=MAX(MIN('詳細設定'!$D$10,20),0),MAX('詳細設定'!$D$9,0),MAX('詳細設定'!$D$11,0)))</x:f>
        <x:v>8.3</x:v>
      </x:c>
      <x:c r="O400" s="190" t="n">
        <x:f>K400*M400</x:f>
        <x:v>7003.910352688532</x:v>
      </x:c>
      <x:c r="P400" s="190" t="n">
        <x:f>L400*N400</x:f>
        <x:v>2210.9829846624093</x:v>
      </x:c>
      <x:c r="Q400" s="190" t="n">
        <x:f>O400+P400</x:f>
        <x:v>9214.89333735094</x:v>
      </x:c>
      <x:c r="R400" s="196" t="n">
        <x:f>J400-K400-L400</x:f>
        <x:v>0</x:v>
      </x:c>
    </x:row>
    <x:row r="401">
      <x:c r="A401" s="20" t="str">
        <x:v>標準</x:v>
      </x:c>
      <x:c r="B401" s="20" t="n">
        <x:v>14</x:v>
      </x:c>
      <x:c r="C401" s="20" t="n">
        <x:v>1</x:v>
      </x:c>
      <x:c r="D401" s="189" t="n">
        <x:v>1</x:v>
      </x:c>
      <x:c r="E401" s="189" t="n">
        <x:v>1</x:v>
      </x:c>
      <x:c r="F401" s="189" t="n">
        <x:f>MAX(MIN('詳細設定'!$D$15+0,1),0)</x:f>
        <x:v>0.4</x:v>
      </x:c>
      <x:c r="G401" s="563" t="n">
        <x:f>'_計算月次'!$J$5</x:f>
        <x:v>502.4147595742038</x:v>
      </x:c>
      <x:c r="H401" s="563" t="n">
        <x:f>'_計算月次'!$K$5</x:f>
        <x:v>450</x:v>
      </x:c>
      <x:c r="I401" s="563" t="n">
        <x:f>(1-MAX(MIN('詳細設定'!$D$16,0.999999),0))^(B401-1)</x:f>
        <x:v>1</x:v>
      </x:c>
      <x:c r="J401" s="563" t="n">
        <x:f>MAX(G401*D401*I401,0)</x:f>
        <x:v>502.4147595742038</x:v>
      </x:c>
      <x:c r="K401" s="563" t="n">
        <x:f>MAX(MIN(J401*F401,H401),0)</x:f>
        <x:v>200.96590382968154</x:v>
      </x:c>
      <x:c r="L401" s="563" t="n">
        <x:f>MAX(J401-K401,0)</x:f>
        <x:v>301.44885574452223</x:v>
      </x:c>
      <x:c r="M401" s="185" t="n">
        <x:f>MAX('詳細設定'!$D$6,0)*(1+'詳細設定'!$D$21)^(B401-1)</x:f>
        <x:v>39.83326481516513</x:v>
      </x:c>
      <x:c r="N401" s="185" t="n">
        <x:f>IF(B401&lt;=MAX(MIN('詳細設定'!$D$8,20),0),MAX('詳細設定'!$D$7,0),IF(B401&lt;=MAX(MIN('詳細設定'!$D$10,20),0),MAX('詳細設定'!$D$9,0),MAX('詳細設定'!$D$11,0)))</x:f>
        <x:v>8.3</x:v>
      </x:c>
      <x:c r="O401" s="190" t="n">
        <x:f>K401*M401</x:f>
        <x:v>8005.128066066713</x:v>
      </x:c>
      <x:c r="P401" s="190" t="n">
        <x:f>L401*N401</x:f>
        <x:v>2502.025502679535</x:v>
      </x:c>
      <x:c r="Q401" s="190" t="n">
        <x:f>O401+P401</x:f>
        <x:v>10507.153568746247</x:v>
      </x:c>
      <x:c r="R401" s="196" t="n">
        <x:f>J401-K401-L401</x:f>
        <x:v>0</x:v>
      </x:c>
    </x:row>
    <x:row r="402">
      <x:c r="A402" s="20" t="str">
        <x:v>標準</x:v>
      </x:c>
      <x:c r="B402" s="20" t="n">
        <x:v>14</x:v>
      </x:c>
      <x:c r="C402" s="20" t="n">
        <x:v>2</x:v>
      </x:c>
      <x:c r="D402" s="189" t="n">
        <x:v>1</x:v>
      </x:c>
      <x:c r="E402" s="189" t="n">
        <x:v>1</x:v>
      </x:c>
      <x:c r="F402" s="189" t="n">
        <x:f>MAX(MIN('詳細設定'!$D$15+0,1),0)</x:f>
        <x:v>0.4</x:v>
      </x:c>
      <x:c r="G402" s="563" t="n">
        <x:f>'_計算月次'!$J$6</x:f>
        <x:v>472.4508339500229</x:v>
      </x:c>
      <x:c r="H402" s="563" t="n">
        <x:f>'_計算月次'!$K$6</x:f>
        <x:v>405</x:v>
      </x:c>
      <x:c r="I402" s="563" t="n">
        <x:f>(1-MAX(MIN('詳細設定'!$D$16,0.999999),0))^(B402-1)</x:f>
        <x:v>1</x:v>
      </x:c>
      <x:c r="J402" s="563" t="n">
        <x:f>MAX(G402*D402*I402,0)</x:f>
        <x:v>472.4508339500229</x:v>
      </x:c>
      <x:c r="K402" s="563" t="n">
        <x:f>MAX(MIN(J402*F402,H402),0)</x:f>
        <x:v>188.9803335800092</x:v>
      </x:c>
      <x:c r="L402" s="563" t="n">
        <x:f>MAX(J402-K402,0)</x:f>
        <x:v>283.4705003700137</x:v>
      </x:c>
      <x:c r="M402" s="185" t="n">
        <x:f>MAX('詳細設定'!$D$6,0)*(1+'詳細設定'!$D$21)^(B402-1)</x:f>
        <x:v>39.83326481516513</x:v>
      </x:c>
      <x:c r="N402" s="185" t="n">
        <x:f>IF(B402&lt;=MAX(MIN('詳細設定'!$D$8,20),0),MAX('詳細設定'!$D$7,0),IF(B402&lt;=MAX(MIN('詳細設定'!$D$10,20),0),MAX('詳細設定'!$D$9,0),MAX('詳細設定'!$D$11,0)))</x:f>
        <x:v>8.3</x:v>
      </x:c>
      <x:c r="O402" s="190" t="n">
        <x:f>K402*M402</x:f>
        <x:v>7527.703672350749</x:v>
      </x:c>
      <x:c r="P402" s="190" t="n">
        <x:f>L402*N402</x:f>
        <x:v>2352.805153071114</x:v>
      </x:c>
      <x:c r="Q402" s="190" t="n">
        <x:f>O402+P402</x:f>
        <x:v>9880.508825421863</x:v>
      </x:c>
      <x:c r="R402" s="196" t="n">
        <x:f>J402-K402-L402</x:f>
        <x:v>0</x:v>
      </x:c>
    </x:row>
    <x:row r="403">
      <x:c r="A403" s="20" t="str">
        <x:v>標準</x:v>
      </x:c>
      <x:c r="B403" s="20" t="n">
        <x:v>14</x:v>
      </x:c>
      <x:c r="C403" s="20" t="n">
        <x:v>3</x:v>
      </x:c>
      <x:c r="D403" s="189" t="n">
        <x:v>1</x:v>
      </x:c>
      <x:c r="E403" s="189" t="n">
        <x:v>1</x:v>
      </x:c>
      <x:c r="F403" s="189" t="n">
        <x:f>MAX(MIN('詳細設定'!$D$15+0,1),0)</x:f>
        <x:v>0.4</x:v>
      </x:c>
      <x:c r="G403" s="563" t="n">
        <x:f>'_計算月次'!$J$7</x:f>
        <x:v>548.3418864753118</x:v>
      </x:c>
      <x:c r="H403" s="563" t="n">
        <x:f>'_計算月次'!$K$7</x:f>
        <x:v>360</x:v>
      </x:c>
      <x:c r="I403" s="563" t="n">
        <x:f>(1-MAX(MIN('詳細設定'!$D$16,0.999999),0))^(B403-1)</x:f>
        <x:v>1</x:v>
      </x:c>
      <x:c r="J403" s="563" t="n">
        <x:f>MAX(G403*D403*I403,0)</x:f>
        <x:v>548.3418864753118</x:v>
      </x:c>
      <x:c r="K403" s="563" t="n">
        <x:f>MAX(MIN(J403*F403,H403),0)</x:f>
        <x:v>219.3367545901247</x:v>
      </x:c>
      <x:c r="L403" s="563" t="n">
        <x:f>MAX(J403-K403,0)</x:f>
        <x:v>329.00513188518704</x:v>
      </x:c>
      <x:c r="M403" s="185" t="n">
        <x:f>MAX('詳細設定'!$D$6,0)*(1+'詳細設定'!$D$21)^(B403-1)</x:f>
        <x:v>39.83326481516513</x:v>
      </x:c>
      <x:c r="N403" s="185" t="n">
        <x:f>IF(B403&lt;=MAX(MIN('詳細設定'!$D$8,20),0),MAX('詳細設定'!$D$7,0),IF(B403&lt;=MAX(MIN('詳細設定'!$D$10,20),0),MAX('詳細設定'!$D$9,0),MAX('詳細設定'!$D$11,0)))</x:f>
        <x:v>8.3</x:v>
      </x:c>
      <x:c r="O403" s="190" t="n">
        <x:f>K403*M403</x:f>
        <x:v>8736.899029287324</x:v>
      </x:c>
      <x:c r="P403" s="190" t="n">
        <x:f>L403*N403</x:f>
        <x:v>2730.7425946470526</x:v>
      </x:c>
      <x:c r="Q403" s="190" t="n">
        <x:f>O403+P403</x:f>
        <x:v>11467.641623934376</x:v>
      </x:c>
      <x:c r="R403" s="196" t="n">
        <x:f>J403-K403-L403</x:f>
        <x:v>0</x:v>
      </x:c>
    </x:row>
    <x:row r="404">
      <x:c r="A404" s="20" t="str">
        <x:v>標準</x:v>
      </x:c>
      <x:c r="B404" s="20" t="n">
        <x:v>14</x:v>
      </x:c>
      <x:c r="C404" s="20" t="n">
        <x:v>4</x:v>
      </x:c>
      <x:c r="D404" s="189" t="n">
        <x:v>1</x:v>
      </x:c>
      <x:c r="E404" s="189" t="n">
        <x:v>1</x:v>
      </x:c>
      <x:c r="F404" s="189" t="n">
        <x:f>MAX(MIN('詳細設定'!$D$15+0,1),0)</x:f>
        <x:v>0.4</x:v>
      </x:c>
      <x:c r="G404" s="563" t="n">
        <x:f>'_計算月次'!$J$8</x:f>
        <x:v>548.3944393749554</x:v>
      </x:c>
      <x:c r="H404" s="563" t="n">
        <x:f>'_計算月次'!$K$8</x:f>
        <x:v>315.00000000000006</x:v>
      </x:c>
      <x:c r="I404" s="563" t="n">
        <x:f>(1-MAX(MIN('詳細設定'!$D$16,0.999999),0))^(B404-1)</x:f>
        <x:v>1</x:v>
      </x:c>
      <x:c r="J404" s="563" t="n">
        <x:f>MAX(G404*D404*I404,0)</x:f>
        <x:v>548.3944393749554</x:v>
      </x:c>
      <x:c r="K404" s="563" t="n">
        <x:f>MAX(MIN(J404*F404,H404),0)</x:f>
        <x:v>219.35777574998215</x:v>
      </x:c>
      <x:c r="L404" s="563" t="n">
        <x:f>MAX(J404-K404,0)</x:f>
        <x:v>329.03666362497324</x:v>
      </x:c>
      <x:c r="M404" s="185" t="n">
        <x:f>MAX('詳細設定'!$D$6,0)*(1+'詳細設定'!$D$21)^(B404-1)</x:f>
        <x:v>39.83326481516513</x:v>
      </x:c>
      <x:c r="N404" s="185" t="n">
        <x:f>IF(B404&lt;=MAX(MIN('詳細設定'!$D$8,20),0),MAX('詳細設定'!$D$7,0),IF(B404&lt;=MAX(MIN('詳細設定'!$D$10,20),0),MAX('詳細設定'!$D$9,0),MAX('詳細設定'!$D$11,0)))</x:f>
        <x:v>8.3</x:v>
      </x:c>
      <x:c r="O404" s="190" t="n">
        <x:f>K404*M404</x:f>
        <x:v>8737.736370714647</x:v>
      </x:c>
      <x:c r="P404" s="190" t="n">
        <x:f>L404*N404</x:f>
        <x:v>2731.0043080872783</x:v>
      </x:c>
      <x:c r="Q404" s="190" t="n">
        <x:f>O404+P404</x:f>
        <x:v>11468.740678801925</x:v>
      </x:c>
      <x:c r="R404" s="196" t="n">
        <x:f>J404-K404-L404</x:f>
        <x:v>0</x:v>
      </x:c>
    </x:row>
    <x:row r="405">
      <x:c r="A405" s="20" t="str">
        <x:v>標準</x:v>
      </x:c>
      <x:c r="B405" s="20" t="n">
        <x:v>14</x:v>
      </x:c>
      <x:c r="C405" s="20" t="n">
        <x:v>5</x:v>
      </x:c>
      <x:c r="D405" s="189" t="n">
        <x:v>1</x:v>
      </x:c>
      <x:c r="E405" s="189" t="n">
        <x:v>1</x:v>
      </x:c>
      <x:c r="F405" s="189" t="n">
        <x:f>MAX(MIN('詳細設定'!$D$15+0,1),0)</x:f>
        <x:v>0.4</x:v>
      </x:c>
      <x:c r="G405" s="563" t="n">
        <x:f>'_計算月次'!$J$9</x:f>
        <x:v>552.2367574934775</x:v>
      </x:c>
      <x:c r="H405" s="563" t="n">
        <x:f>'_計算月次'!$K$9</x:f>
        <x:v>315.00000000000006</x:v>
      </x:c>
      <x:c r="I405" s="563" t="n">
        <x:f>(1-MAX(MIN('詳細設定'!$D$16,0.999999),0))^(B405-1)</x:f>
        <x:v>1</x:v>
      </x:c>
      <x:c r="J405" s="563" t="n">
        <x:f>MAX(G405*D405*I405,0)</x:f>
        <x:v>552.2367574934775</x:v>
      </x:c>
      <x:c r="K405" s="563" t="n">
        <x:f>MAX(MIN(J405*F405,H405),0)</x:f>
        <x:v>220.89470299739102</x:v>
      </x:c>
      <x:c r="L405" s="563" t="n">
        <x:f>MAX(J405-K405,0)</x:f>
        <x:v>331.34205449608646</x:v>
      </x:c>
      <x:c r="M405" s="185" t="n">
        <x:f>MAX('詳細設定'!$D$6,0)*(1+'詳細設定'!$D$21)^(B405-1)</x:f>
        <x:v>39.83326481516513</x:v>
      </x:c>
      <x:c r="N405" s="185" t="n">
        <x:f>IF(B405&lt;=MAX(MIN('詳細設定'!$D$8,20),0),MAX('詳細設定'!$D$7,0),IF(B405&lt;=MAX(MIN('詳細設定'!$D$10,20),0),MAX('詳細設定'!$D$9,0),MAX('詳細設定'!$D$11,0)))</x:f>
        <x:v>8.3</x:v>
      </x:c>
      <x:c r="O405" s="190" t="n">
        <x:f>K405*M405</x:f>
        <x:v>8798.957200762326</x:v>
      </x:c>
      <x:c r="P405" s="190" t="n">
        <x:f>L405*N405</x:f>
        <x:v>2750.139052317518</x:v>
      </x:c>
      <x:c r="Q405" s="190" t="n">
        <x:f>O405+P405</x:f>
        <x:v>11549.096253079844</x:v>
      </x:c>
      <x:c r="R405" s="196" t="n">
        <x:f>J405-K405-L405</x:f>
        <x:v>0</x:v>
      </x:c>
    </x:row>
    <x:row r="406">
      <x:c r="A406" s="20" t="str">
        <x:v>標準</x:v>
      </x:c>
      <x:c r="B406" s="20" t="n">
        <x:v>14</x:v>
      </x:c>
      <x:c r="C406" s="20" t="n">
        <x:v>6</x:v>
      </x:c>
      <x:c r="D406" s="189" t="n">
        <x:v>1</x:v>
      </x:c>
      <x:c r="E406" s="189" t="n">
        <x:v>1</x:v>
      </x:c>
      <x:c r="F406" s="189" t="n">
        <x:f>MAX(MIN('詳細設定'!$D$15+0,1),0)</x:f>
        <x:v>0.4</x:v>
      </x:c>
      <x:c r="G406" s="563" t="n">
        <x:f>'_計算月次'!$J$10</x:f>
        <x:v>448.7994857612148</x:v>
      </x:c>
      <x:c r="H406" s="563" t="n">
        <x:f>'_計算月次'!$K$10</x:f>
        <x:v>360</x:v>
      </x:c>
      <x:c r="I406" s="563" t="n">
        <x:f>(1-MAX(MIN('詳細設定'!$D$16,0.999999),0))^(B406-1)</x:f>
        <x:v>1</x:v>
      </x:c>
      <x:c r="J406" s="563" t="n">
        <x:f>MAX(G406*D406*I406,0)</x:f>
        <x:v>448.7994857612148</x:v>
      </x:c>
      <x:c r="K406" s="563" t="n">
        <x:f>MAX(MIN(J406*F406,H406),0)</x:f>
        <x:v>179.5197943044859</x:v>
      </x:c>
      <x:c r="L406" s="563" t="n">
        <x:f>MAX(J406-K406,0)</x:f>
        <x:v>269.27969145672887</x:v>
      </x:c>
      <x:c r="M406" s="185" t="n">
        <x:f>MAX('詳細設定'!$D$6,0)*(1+'詳細設定'!$D$21)^(B406-1)</x:f>
        <x:v>39.83326481516513</x:v>
      </x:c>
      <x:c r="N406" s="185" t="n">
        <x:f>IF(B406&lt;=MAX(MIN('詳細設定'!$D$8,20),0),MAX('詳細設定'!$D$7,0),IF(B406&lt;=MAX(MIN('詳細設定'!$D$10,20),0),MAX('詳細設定'!$D$9,0),MAX('詳細設定'!$D$11,0)))</x:f>
        <x:v>8.3</x:v>
      </x:c>
      <x:c r="O406" s="190" t="n">
        <x:f>K406*M406</x:f>
        <x:v>7150.85950609456</x:v>
      </x:c>
      <x:c r="P406" s="190" t="n">
        <x:f>L406*N406</x:f>
        <x:v>2235.02143909085</x:v>
      </x:c>
      <x:c r="Q406" s="190" t="n">
        <x:f>O406+P406</x:f>
        <x:v>9385.88094518541</x:v>
      </x:c>
      <x:c r="R406" s="196" t="n">
        <x:f>J406-K406-L406</x:f>
        <x:v>0</x:v>
      </x:c>
    </x:row>
    <x:row r="407">
      <x:c r="A407" s="20" t="str">
        <x:v>標準</x:v>
      </x:c>
      <x:c r="B407" s="20" t="n">
        <x:v>14</x:v>
      </x:c>
      <x:c r="C407" s="20" t="n">
        <x:v>7</x:v>
      </x:c>
      <x:c r="D407" s="189" t="n">
        <x:v>1</x:v>
      </x:c>
      <x:c r="E407" s="189" t="n">
        <x:v>1</x:v>
      </x:c>
      <x:c r="F407" s="189" t="n">
        <x:f>MAX(MIN('詳細設定'!$D$15+0,1),0)</x:f>
        <x:v>0.4</x:v>
      </x:c>
      <x:c r="G407" s="563" t="n">
        <x:f>'_計算月次'!$J$11</x:f>
        <x:v>476.0181638067866</x:v>
      </x:c>
      <x:c r="H407" s="563" t="n">
        <x:f>'_計算月次'!$K$11</x:f>
        <x:v>405</x:v>
      </x:c>
      <x:c r="I407" s="563" t="n">
        <x:f>(1-MAX(MIN('詳細設定'!$D$16,0.999999),0))^(B407-1)</x:f>
        <x:v>1</x:v>
      </x:c>
      <x:c r="J407" s="563" t="n">
        <x:f>MAX(G407*D407*I407,0)</x:f>
        <x:v>476.0181638067866</x:v>
      </x:c>
      <x:c r="K407" s="563" t="n">
        <x:f>MAX(MIN(J407*F407,H407),0)</x:f>
        <x:v>190.40726552271465</x:v>
      </x:c>
      <x:c r="L407" s="563" t="n">
        <x:f>MAX(J407-K407,0)</x:f>
        <x:v>285.61089828407194</x:v>
      </x:c>
      <x:c r="M407" s="185" t="n">
        <x:f>MAX('詳細設定'!$D$6,0)*(1+'詳細設定'!$D$21)^(B407-1)</x:f>
        <x:v>39.83326481516513</x:v>
      </x:c>
      <x:c r="N407" s="185" t="n">
        <x:f>IF(B407&lt;=MAX(MIN('詳細設定'!$D$8,20),0),MAX('詳細設定'!$D$7,0),IF(B407&lt;=MAX(MIN('詳細設定'!$D$10,20),0),MAX('詳細設定'!$D$9,0),MAX('詳細設定'!$D$11,0)))</x:f>
        <x:v>8.3</x:v>
      </x:c>
      <x:c r="O407" s="190" t="n">
        <x:f>K407*M407</x:f>
        <x:v>7584.543030297754</x:v>
      </x:c>
      <x:c r="P407" s="190" t="n">
        <x:f>L407*N407</x:f>
        <x:v>2370.5704557577974</x:v>
      </x:c>
      <x:c r="Q407" s="190" t="n">
        <x:f>O407+P407</x:f>
        <x:v>9955.11348605555</x:v>
      </x:c>
      <x:c r="R407" s="196" t="n">
        <x:f>J407-K407-L407</x:f>
        <x:v>0</x:v>
      </x:c>
    </x:row>
    <x:row r="408">
      <x:c r="A408" s="20" t="str">
        <x:v>標準</x:v>
      </x:c>
      <x:c r="B408" s="20" t="n">
        <x:v>14</x:v>
      </x:c>
      <x:c r="C408" s="20" t="n">
        <x:v>8</x:v>
      </x:c>
      <x:c r="D408" s="189" t="n">
        <x:v>1</x:v>
      </x:c>
      <x:c r="E408" s="189" t="n">
        <x:v>1</x:v>
      </x:c>
      <x:c r="F408" s="189" t="n">
        <x:f>MAX(MIN('詳細設定'!$D$15+0,1),0)</x:f>
        <x:v>0.4</x:v>
      </x:c>
      <x:c r="G408" s="563" t="n">
        <x:f>'_計算月次'!$J$12</x:f>
        <x:v>528.6548067323699</x:v>
      </x:c>
      <x:c r="H408" s="563" t="n">
        <x:f>'_計算月次'!$K$12</x:f>
        <x:v>450</x:v>
      </x:c>
      <x:c r="I408" s="563" t="n">
        <x:f>(1-MAX(MIN('詳細設定'!$D$16,0.999999),0))^(B408-1)</x:f>
        <x:v>1</x:v>
      </x:c>
      <x:c r="J408" s="563" t="n">
        <x:f>MAX(G408*D408*I408,0)</x:f>
        <x:v>528.6548067323699</x:v>
      </x:c>
      <x:c r="K408" s="563" t="n">
        <x:f>MAX(MIN(J408*F408,H408),0)</x:f>
        <x:v>211.46192269294798</x:v>
      </x:c>
      <x:c r="L408" s="563" t="n">
        <x:f>MAX(J408-K408,0)</x:f>
        <x:v>317.192884039422</x:v>
      </x:c>
      <x:c r="M408" s="185" t="n">
        <x:f>MAX('詳細設定'!$D$6,0)*(1+'詳細設定'!$D$21)^(B408-1)</x:f>
        <x:v>39.83326481516513</x:v>
      </x:c>
      <x:c r="N408" s="185" t="n">
        <x:f>IF(B408&lt;=MAX(MIN('詳細設定'!$D$8,20),0),MAX('詳細設定'!$D$7,0),IF(B408&lt;=MAX(MIN('詳細設定'!$D$10,20),0),MAX('詳細設定'!$D$9,0),MAX('詳細設定'!$D$11,0)))</x:f>
        <x:v>8.3</x:v>
      </x:c>
      <x:c r="O408" s="190" t="n">
        <x:f>K408*M408</x:f>
        <x:v>8423.218764952173</x:v>
      </x:c>
      <x:c r="P408" s="190" t="n">
        <x:f>L408*N408</x:f>
        <x:v>2632.7009375272028</x:v>
      </x:c>
      <x:c r="Q408" s="190" t="n">
        <x:f>O408+P408</x:f>
        <x:v>11055.919702479376</x:v>
      </x:c>
      <x:c r="R408" s="196" t="n">
        <x:f>J408-K408-L408</x:f>
        <x:v>0</x:v>
      </x:c>
    </x:row>
    <x:row r="409">
      <x:c r="A409" s="20" t="str">
        <x:v>標準</x:v>
      </x:c>
      <x:c r="B409" s="20" t="n">
        <x:v>14</x:v>
      </x:c>
      <x:c r="C409" s="20" t="n">
        <x:v>9</x:v>
      </x:c>
      <x:c r="D409" s="189" t="n">
        <x:v>1</x:v>
      </x:c>
      <x:c r="E409" s="189" t="n">
        <x:v>1</x:v>
      </x:c>
      <x:c r="F409" s="189" t="n">
        <x:f>MAX(MIN('詳細設定'!$D$15+0,1),0)</x:f>
        <x:v>0.4</x:v>
      </x:c>
      <x:c r="G409" s="563" t="n">
        <x:f>'_計算月次'!$J$13</x:f>
        <x:v>436.37734765103465</x:v>
      </x:c>
      <x:c r="H409" s="563" t="n">
        <x:f>'_計算月次'!$K$13</x:f>
        <x:v>360</x:v>
      </x:c>
      <x:c r="I409" s="563" t="n">
        <x:f>(1-MAX(MIN('詳細設定'!$D$16,0.999999),0))^(B409-1)</x:f>
        <x:v>1</x:v>
      </x:c>
      <x:c r="J409" s="563" t="n">
        <x:f>MAX(G409*D409*I409,0)</x:f>
        <x:v>436.37734765103465</x:v>
      </x:c>
      <x:c r="K409" s="563" t="n">
        <x:f>MAX(MIN(J409*F409,H409),0)</x:f>
        <x:v>174.55093906041387</x:v>
      </x:c>
      <x:c r="L409" s="563" t="n">
        <x:f>MAX(J409-K409,0)</x:f>
        <x:v>261.82640859062076</x:v>
      </x:c>
      <x:c r="M409" s="185" t="n">
        <x:f>MAX('詳細設定'!$D$6,0)*(1+'詳細設定'!$D$21)^(B409-1)</x:f>
        <x:v>39.83326481516513</x:v>
      </x:c>
      <x:c r="N409" s="185" t="n">
        <x:f>IF(B409&lt;=MAX(MIN('詳細設定'!$D$8,20),0),MAX('詳細設定'!$D$7,0),IF(B409&lt;=MAX(MIN('詳細設定'!$D$10,20),0),MAX('詳細設定'!$D$9,0),MAX('詳細設定'!$D$11,0)))</x:f>
        <x:v>8.3</x:v>
      </x:c>
      <x:c r="O409" s="190" t="n">
        <x:f>K409*M409</x:f>
        <x:v>6952.933779329216</x:v>
      </x:c>
      <x:c r="P409" s="190" t="n">
        <x:f>L409*N409</x:f>
        <x:v>2173.1591913021525</x:v>
      </x:c>
      <x:c r="Q409" s="190" t="n">
        <x:f>O409+P409</x:f>
        <x:v>9126.09297063137</x:v>
      </x:c>
      <x:c r="R409" s="196" t="n">
        <x:f>J409-K409-L409</x:f>
        <x:v>0</x:v>
      </x:c>
    </x:row>
    <x:row r="410">
      <x:c r="A410" s="20" t="str">
        <x:v>標準</x:v>
      </x:c>
      <x:c r="B410" s="20" t="n">
        <x:v>14</x:v>
      </x:c>
      <x:c r="C410" s="20" t="n">
        <x:v>10</x:v>
      </x:c>
      <x:c r="D410" s="189" t="n">
        <x:v>1</x:v>
      </x:c>
      <x:c r="E410" s="189" t="n">
        <x:v>1</x:v>
      </x:c>
      <x:c r="F410" s="189" t="n">
        <x:f>MAX(MIN('詳細設定'!$D$15+0,1),0)</x:f>
        <x:v>0.4</x:v>
      </x:c>
      <x:c r="G410" s="563" t="n">
        <x:f>'_計算月次'!$J$14</x:f>
        <x:v>408.8269849869007</x:v>
      </x:c>
      <x:c r="H410" s="563" t="n">
        <x:f>'_計算月次'!$K$14</x:f>
        <x:v>315.00000000000006</x:v>
      </x:c>
      <x:c r="I410" s="563" t="n">
        <x:f>(1-MAX(MIN('詳細設定'!$D$16,0.999999),0))^(B410-1)</x:f>
        <x:v>1</x:v>
      </x:c>
      <x:c r="J410" s="563" t="n">
        <x:f>MAX(G410*D410*I410,0)</x:f>
        <x:v>408.8269849869007</x:v>
      </x:c>
      <x:c r="K410" s="563" t="n">
        <x:f>MAX(MIN(J410*F410,H410),0)</x:f>
        <x:v>163.5307939947603</x:v>
      </x:c>
      <x:c r="L410" s="563" t="n">
        <x:f>MAX(J410-K410,0)</x:f>
        <x:v>245.2961909921404</x:v>
      </x:c>
      <x:c r="M410" s="185" t="n">
        <x:f>MAX('詳細設定'!$D$6,0)*(1+'詳細設定'!$D$21)^(B410-1)</x:f>
        <x:v>39.83326481516513</x:v>
      </x:c>
      <x:c r="N410" s="185" t="n">
        <x:f>IF(B410&lt;=MAX(MIN('詳細設定'!$D$8,20),0),MAX('詳細設定'!$D$7,0),IF(B410&lt;=MAX(MIN('詳細設定'!$D$10,20),0),MAX('詳細設定'!$D$9,0),MAX('詳細設定'!$D$11,0)))</x:f>
        <x:v>8.3</x:v>
      </x:c>
      <x:c r="O410" s="190" t="n">
        <x:f>K410*M410</x:f>
        <x:v>6513.965422627502</x:v>
      </x:c>
      <x:c r="P410" s="190" t="n">
        <x:f>L410*N410</x:f>
        <x:v>2035.9583852347655</x:v>
      </x:c>
      <x:c r="Q410" s="190" t="n">
        <x:f>O410+P410</x:f>
        <x:v>8549.923807862267</x:v>
      </x:c>
      <x:c r="R410" s="196" t="n">
        <x:f>J410-K410-L410</x:f>
        <x:v>0</x:v>
      </x:c>
    </x:row>
    <x:row r="411">
      <x:c r="A411" s="20" t="str">
        <x:v>標準</x:v>
      </x:c>
      <x:c r="B411" s="20" t="n">
        <x:v>14</x:v>
      </x:c>
      <x:c r="C411" s="20" t="n">
        <x:v>11</x:v>
      </x:c>
      <x:c r="D411" s="189" t="n">
        <x:v>1</x:v>
      </x:c>
      <x:c r="E411" s="189" t="n">
        <x:v>1</x:v>
      </x:c>
      <x:c r="F411" s="189" t="n">
        <x:f>MAX(MIN('詳細設定'!$D$15+0,1),0)</x:f>
        <x:v>0.4</x:v>
      </x:c>
      <x:c r="G411" s="563" t="n">
        <x:f>'_計算月次'!$J$15</x:f>
        <x:v>398.45169764745054</x:v>
      </x:c>
      <x:c r="H411" s="563" t="n">
        <x:f>'_計算月次'!$K$15</x:f>
        <x:v>360</x:v>
      </x:c>
      <x:c r="I411" s="563" t="n">
        <x:f>(1-MAX(MIN('詳細設定'!$D$16,0.999999),0))^(B411-1)</x:f>
        <x:v>1</x:v>
      </x:c>
      <x:c r="J411" s="563" t="n">
        <x:f>MAX(G411*D411*I411,0)</x:f>
        <x:v>398.45169764745054</x:v>
      </x:c>
      <x:c r="K411" s="563" t="n">
        <x:f>MAX(MIN(J411*F411,H411),0)</x:f>
        <x:v>159.38067905898023</x:v>
      </x:c>
      <x:c r="L411" s="563" t="n">
        <x:f>MAX(J411-K411,0)</x:f>
        <x:v>239.0710185884703</x:v>
      </x:c>
      <x:c r="M411" s="185" t="n">
        <x:f>MAX('詳細設定'!$D$6,0)*(1+'詳細設定'!$D$21)^(B411-1)</x:f>
        <x:v>39.83326481516513</x:v>
      </x:c>
      <x:c r="N411" s="185" t="n">
        <x:f>IF(B411&lt;=MAX(MIN('詳細設定'!$D$8,20),0),MAX('詳細設定'!$D$7,0),IF(B411&lt;=MAX(MIN('詳細設定'!$D$10,20),0),MAX('詳細設定'!$D$9,0),MAX('詳細設定'!$D$11,0)))</x:f>
        <x:v>8.3</x:v>
      </x:c>
      <x:c r="O411" s="190" t="n">
        <x:f>K411*M411</x:f>
        <x:v>6348.652795377203</x:v>
      </x:c>
      <x:c r="P411" s="190" t="n">
        <x:f>L411*N411</x:f>
        <x:v>1984.2894542843037</x:v>
      </x:c>
      <x:c r="Q411" s="190" t="n">
        <x:f>O411+P411</x:f>
        <x:v>8332.942249661506</x:v>
      </x:c>
      <x:c r="R411" s="196" t="n">
        <x:f>J411-K411-L411</x:f>
        <x:v>0</x:v>
      </x:c>
    </x:row>
    <x:row r="412">
      <x:c r="A412" s="20" t="str">
        <x:v>標準</x:v>
      </x:c>
      <x:c r="B412" s="20" t="n">
        <x:v>14</x:v>
      </x:c>
      <x:c r="C412" s="20" t="n">
        <x:v>12</x:v>
      </x:c>
      <x:c r="D412" s="189" t="n">
        <x:v>1</x:v>
      </x:c>
      <x:c r="E412" s="189" t="n">
        <x:v>1</x:v>
      </x:c>
      <x:c r="F412" s="189" t="n">
        <x:f>MAX(MIN('詳細設定'!$D$15+0,1),0)</x:f>
        <x:v>0.4</x:v>
      </x:c>
      <x:c r="G412" s="563" t="n">
        <x:f>'_計算月次'!$J$16</x:f>
        <x:v>443.97248688000184</x:v>
      </x:c>
      <x:c r="H412" s="563" t="n">
        <x:f>'_計算月次'!$K$16</x:f>
        <x:v>405</x:v>
      </x:c>
      <x:c r="I412" s="563" t="n">
        <x:f>(1-MAX(MIN('詳細設定'!$D$16,0.999999),0))^(B412-1)</x:f>
        <x:v>1</x:v>
      </x:c>
      <x:c r="J412" s="563" t="n">
        <x:f>MAX(G412*D412*I412,0)</x:f>
        <x:v>443.97248688000184</x:v>
      </x:c>
      <x:c r="K412" s="563" t="n">
        <x:f>MAX(MIN(J412*F412,H412),0)</x:f>
        <x:v>177.58899475200076</x:v>
      </x:c>
      <x:c r="L412" s="563" t="n">
        <x:f>MAX(J412-K412,0)</x:f>
        <x:v>266.3834921280011</x:v>
      </x:c>
      <x:c r="M412" s="185" t="n">
        <x:f>MAX('詳細設定'!$D$6,0)*(1+'詳細設定'!$D$21)^(B412-1)</x:f>
        <x:v>39.83326481516513</x:v>
      </x:c>
      <x:c r="N412" s="185" t="n">
        <x:f>IF(B412&lt;=MAX(MIN('詳細設定'!$D$8,20),0),MAX('詳細設定'!$D$7,0),IF(B412&lt;=MAX(MIN('詳細設定'!$D$10,20),0),MAX('詳細設定'!$D$9,0),MAX('詳細設定'!$D$11,0)))</x:f>
        <x:v>8.3</x:v>
      </x:c>
      <x:c r="O412" s="190" t="n">
        <x:f>K412*M412</x:f>
        <x:v>7073.949456215417</x:v>
      </x:c>
      <x:c r="P412" s="190" t="n">
        <x:f>L412*N412</x:f>
        <x:v>2210.9829846624093</x:v>
      </x:c>
      <x:c r="Q412" s="190" t="n">
        <x:f>O412+P412</x:f>
        <x:v>9284.932440877827</x:v>
      </x:c>
      <x:c r="R412" s="196" t="n">
        <x:f>J412-K412-L412</x:f>
        <x:v>0</x:v>
      </x:c>
    </x:row>
    <x:row r="413">
      <x:c r="A413" s="20" t="str">
        <x:v>標準</x:v>
      </x:c>
      <x:c r="B413" s="20" t="n">
        <x:v>15</x:v>
      </x:c>
      <x:c r="C413" s="20" t="n">
        <x:v>1</x:v>
      </x:c>
      <x:c r="D413" s="189" t="n">
        <x:v>1</x:v>
      </x:c>
      <x:c r="E413" s="189" t="n">
        <x:v>1</x:v>
      </x:c>
      <x:c r="F413" s="189" t="n">
        <x:f>MAX(MIN('詳細設定'!$D$15+0,1),0)</x:f>
        <x:v>0.4</x:v>
      </x:c>
      <x:c r="G413" s="563" t="n">
        <x:f>'_計算月次'!$J$5</x:f>
        <x:v>502.4147595742038</x:v>
      </x:c>
      <x:c r="H413" s="563" t="n">
        <x:f>'_計算月次'!$K$5</x:f>
        <x:v>450</x:v>
      </x:c>
      <x:c r="I413" s="563" t="n">
        <x:f>(1-MAX(MIN('詳細設定'!$D$16,0.999999),0))^(B413-1)</x:f>
        <x:v>1</x:v>
      </x:c>
      <x:c r="J413" s="563" t="n">
        <x:f>MAX(G413*D413*I413,0)</x:f>
        <x:v>502.4147595742038</x:v>
      </x:c>
      <x:c r="K413" s="563" t="n">
        <x:f>MAX(MIN(J413*F413,H413),0)</x:f>
        <x:v>200.96590382968154</x:v>
      </x:c>
      <x:c r="L413" s="563" t="n">
        <x:f>MAX(J413-K413,0)</x:f>
        <x:v>301.44885574452223</x:v>
      </x:c>
      <x:c r="M413" s="185" t="n">
        <x:f>MAX('詳細設定'!$D$6,0)*(1+'詳細設定'!$D$21)^(B413-1)</x:f>
        <x:v>40.23159746331679</x:v>
      </x:c>
      <x:c r="N413" s="185" t="n">
        <x:f>IF(B413&lt;=MAX(MIN('詳細設定'!$D$8,20),0),MAX('詳細設定'!$D$7,0),IF(B413&lt;=MAX(MIN('詳細設定'!$D$10,20),0),MAX('詳細設定'!$D$9,0),MAX('詳細設定'!$D$11,0)))</x:f>
        <x:v>8.3</x:v>
      </x:c>
      <x:c r="O413" s="190" t="n">
        <x:f>K413*M413</x:f>
        <x:v>8085.179346727381</x:v>
      </x:c>
      <x:c r="P413" s="190" t="n">
        <x:f>L413*N413</x:f>
        <x:v>2502.025502679535</x:v>
      </x:c>
      <x:c r="Q413" s="190" t="n">
        <x:f>O413+P413</x:f>
        <x:v>10587.204849406917</x:v>
      </x:c>
      <x:c r="R413" s="196" t="n">
        <x:f>J413-K413-L413</x:f>
        <x:v>0</x:v>
      </x:c>
    </x:row>
    <x:row r="414">
      <x:c r="A414" s="20" t="str">
        <x:v>標準</x:v>
      </x:c>
      <x:c r="B414" s="20" t="n">
        <x:v>15</x:v>
      </x:c>
      <x:c r="C414" s="20" t="n">
        <x:v>2</x:v>
      </x:c>
      <x:c r="D414" s="189" t="n">
        <x:v>1</x:v>
      </x:c>
      <x:c r="E414" s="189" t="n">
        <x:v>1</x:v>
      </x:c>
      <x:c r="F414" s="189" t="n">
        <x:f>MAX(MIN('詳細設定'!$D$15+0,1),0)</x:f>
        <x:v>0.4</x:v>
      </x:c>
      <x:c r="G414" s="563" t="n">
        <x:f>'_計算月次'!$J$6</x:f>
        <x:v>472.4508339500229</x:v>
      </x:c>
      <x:c r="H414" s="563" t="n">
        <x:f>'_計算月次'!$K$6</x:f>
        <x:v>405</x:v>
      </x:c>
      <x:c r="I414" s="563" t="n">
        <x:f>(1-MAX(MIN('詳細設定'!$D$16,0.999999),0))^(B414-1)</x:f>
        <x:v>1</x:v>
      </x:c>
      <x:c r="J414" s="563" t="n">
        <x:f>MAX(G414*D414*I414,0)</x:f>
        <x:v>472.4508339500229</x:v>
      </x:c>
      <x:c r="K414" s="563" t="n">
        <x:f>MAX(MIN(J414*F414,H414),0)</x:f>
        <x:v>188.9803335800092</x:v>
      </x:c>
      <x:c r="L414" s="563" t="n">
        <x:f>MAX(J414-K414,0)</x:f>
        <x:v>283.4705003700137</x:v>
      </x:c>
      <x:c r="M414" s="185" t="n">
        <x:f>MAX('詳細設定'!$D$6,0)*(1+'詳細設定'!$D$21)^(B414-1)</x:f>
        <x:v>40.23159746331679</x:v>
      </x:c>
      <x:c r="N414" s="185" t="n">
        <x:f>IF(B414&lt;=MAX(MIN('詳細設定'!$D$8,20),0),MAX('詳細設定'!$D$7,0),IF(B414&lt;=MAX(MIN('詳細設定'!$D$10,20),0),MAX('詳細設定'!$D$9,0),MAX('詳細設定'!$D$11,0)))</x:f>
        <x:v>8.3</x:v>
      </x:c>
      <x:c r="O414" s="190" t="n">
        <x:f>K414*M414</x:f>
        <x:v>7602.980709074258</x:v>
      </x:c>
      <x:c r="P414" s="190" t="n">
        <x:f>L414*N414</x:f>
        <x:v>2352.805153071114</x:v>
      </x:c>
      <x:c r="Q414" s="190" t="n">
        <x:f>O414+P414</x:f>
        <x:v>9955.785862145372</x:v>
      </x:c>
      <x:c r="R414" s="196" t="n">
        <x:f>J414-K414-L414</x:f>
        <x:v>0</x:v>
      </x:c>
    </x:row>
    <x:row r="415">
      <x:c r="A415" s="20" t="str">
        <x:v>標準</x:v>
      </x:c>
      <x:c r="B415" s="20" t="n">
        <x:v>15</x:v>
      </x:c>
      <x:c r="C415" s="20" t="n">
        <x:v>3</x:v>
      </x:c>
      <x:c r="D415" s="189" t="n">
        <x:v>1</x:v>
      </x:c>
      <x:c r="E415" s="189" t="n">
        <x:v>1</x:v>
      </x:c>
      <x:c r="F415" s="189" t="n">
        <x:f>MAX(MIN('詳細設定'!$D$15+0,1),0)</x:f>
        <x:v>0.4</x:v>
      </x:c>
      <x:c r="G415" s="563" t="n">
        <x:f>'_計算月次'!$J$7</x:f>
        <x:v>548.3418864753118</x:v>
      </x:c>
      <x:c r="H415" s="563" t="n">
        <x:f>'_計算月次'!$K$7</x:f>
        <x:v>360</x:v>
      </x:c>
      <x:c r="I415" s="563" t="n">
        <x:f>(1-MAX(MIN('詳細設定'!$D$16,0.999999),0))^(B415-1)</x:f>
        <x:v>1</x:v>
      </x:c>
      <x:c r="J415" s="563" t="n">
        <x:f>MAX(G415*D415*I415,0)</x:f>
        <x:v>548.3418864753118</x:v>
      </x:c>
      <x:c r="K415" s="563" t="n">
        <x:f>MAX(MIN(J415*F415,H415),0)</x:f>
        <x:v>219.3367545901247</x:v>
      </x:c>
      <x:c r="L415" s="563" t="n">
        <x:f>MAX(J415-K415,0)</x:f>
        <x:v>329.00513188518704</x:v>
      </x:c>
      <x:c r="M415" s="185" t="n">
        <x:f>MAX('詳細設定'!$D$6,0)*(1+'詳細設定'!$D$21)^(B415-1)</x:f>
        <x:v>40.23159746331679</x:v>
      </x:c>
      <x:c r="N415" s="185" t="n">
        <x:f>IF(B415&lt;=MAX(MIN('詳細設定'!$D$8,20),0),MAX('詳細設定'!$D$7,0),IF(B415&lt;=MAX(MIN('詳細設定'!$D$10,20),0),MAX('詳細設定'!$D$9,0),MAX('詳細設定'!$D$11,0)))</x:f>
        <x:v>8.3</x:v>
      </x:c>
      <x:c r="O415" s="190" t="n">
        <x:f>K415*M415</x:f>
        <x:v>8824.268019580199</x:v>
      </x:c>
      <x:c r="P415" s="190" t="n">
        <x:f>L415*N415</x:f>
        <x:v>2730.7425946470526</x:v>
      </x:c>
      <x:c r="Q415" s="190" t="n">
        <x:f>O415+P415</x:f>
        <x:v>11555.01061422725</x:v>
      </x:c>
      <x:c r="R415" s="196" t="n">
        <x:f>J415-K415-L415</x:f>
        <x:v>0</x:v>
      </x:c>
    </x:row>
    <x:row r="416">
      <x:c r="A416" s="20" t="str">
        <x:v>標準</x:v>
      </x:c>
      <x:c r="B416" s="20" t="n">
        <x:v>15</x:v>
      </x:c>
      <x:c r="C416" s="20" t="n">
        <x:v>4</x:v>
      </x:c>
      <x:c r="D416" s="189" t="n">
        <x:v>1</x:v>
      </x:c>
      <x:c r="E416" s="189" t="n">
        <x:v>1</x:v>
      </x:c>
      <x:c r="F416" s="189" t="n">
        <x:f>MAX(MIN('詳細設定'!$D$15+0,1),0)</x:f>
        <x:v>0.4</x:v>
      </x:c>
      <x:c r="G416" s="563" t="n">
        <x:f>'_計算月次'!$J$8</x:f>
        <x:v>548.3944393749554</x:v>
      </x:c>
      <x:c r="H416" s="563" t="n">
        <x:f>'_計算月次'!$K$8</x:f>
        <x:v>315.00000000000006</x:v>
      </x:c>
      <x:c r="I416" s="563" t="n">
        <x:f>(1-MAX(MIN('詳細設定'!$D$16,0.999999),0))^(B416-1)</x:f>
        <x:v>1</x:v>
      </x:c>
      <x:c r="J416" s="563" t="n">
        <x:f>MAX(G416*D416*I416,0)</x:f>
        <x:v>548.3944393749554</x:v>
      </x:c>
      <x:c r="K416" s="563" t="n">
        <x:f>MAX(MIN(J416*F416,H416),0)</x:f>
        <x:v>219.35777574998215</x:v>
      </x:c>
      <x:c r="L416" s="563" t="n">
        <x:f>MAX(J416-K416,0)</x:f>
        <x:v>329.03666362497324</x:v>
      </x:c>
      <x:c r="M416" s="185" t="n">
        <x:f>MAX('詳細設定'!$D$6,0)*(1+'詳細設定'!$D$21)^(B416-1)</x:f>
        <x:v>40.23159746331679</x:v>
      </x:c>
      <x:c r="N416" s="185" t="n">
        <x:f>IF(B416&lt;=MAX(MIN('詳細設定'!$D$8,20),0),MAX('詳細設定'!$D$7,0),IF(B416&lt;=MAX(MIN('詳細設定'!$D$10,20),0),MAX('詳細設定'!$D$9,0),MAX('詳細設定'!$D$11,0)))</x:f>
        <x:v>8.3</x:v>
      </x:c>
      <x:c r="O416" s="190" t="n">
        <x:f>K416*M416</x:f>
        <x:v>8825.113734421795</x:v>
      </x:c>
      <x:c r="P416" s="190" t="n">
        <x:f>L416*N416</x:f>
        <x:v>2731.0043080872783</x:v>
      </x:c>
      <x:c r="Q416" s="190" t="n">
        <x:f>O416+P416</x:f>
        <x:v>11556.118042509073</x:v>
      </x:c>
      <x:c r="R416" s="196" t="n">
        <x:f>J416-K416-L416</x:f>
        <x:v>0</x:v>
      </x:c>
    </x:row>
    <x:row r="417">
      <x:c r="A417" s="20" t="str">
        <x:v>標準</x:v>
      </x:c>
      <x:c r="B417" s="20" t="n">
        <x:v>15</x:v>
      </x:c>
      <x:c r="C417" s="20" t="n">
        <x:v>5</x:v>
      </x:c>
      <x:c r="D417" s="189" t="n">
        <x:v>1</x:v>
      </x:c>
      <x:c r="E417" s="189" t="n">
        <x:v>1</x:v>
      </x:c>
      <x:c r="F417" s="189" t="n">
        <x:f>MAX(MIN('詳細設定'!$D$15+0,1),0)</x:f>
        <x:v>0.4</x:v>
      </x:c>
      <x:c r="G417" s="563" t="n">
        <x:f>'_計算月次'!$J$9</x:f>
        <x:v>552.2367574934775</x:v>
      </x:c>
      <x:c r="H417" s="563" t="n">
        <x:f>'_計算月次'!$K$9</x:f>
        <x:v>315.00000000000006</x:v>
      </x:c>
      <x:c r="I417" s="563" t="n">
        <x:f>(1-MAX(MIN('詳細設定'!$D$16,0.999999),0))^(B417-1)</x:f>
        <x:v>1</x:v>
      </x:c>
      <x:c r="J417" s="563" t="n">
        <x:f>MAX(G417*D417*I417,0)</x:f>
        <x:v>552.2367574934775</x:v>
      </x:c>
      <x:c r="K417" s="563" t="n">
        <x:f>MAX(MIN(J417*F417,H417),0)</x:f>
        <x:v>220.89470299739102</x:v>
      </x:c>
      <x:c r="L417" s="563" t="n">
        <x:f>MAX(J417-K417,0)</x:f>
        <x:v>331.34205449608646</x:v>
      </x:c>
      <x:c r="M417" s="185" t="n">
        <x:f>MAX('詳細設定'!$D$6,0)*(1+'詳細設定'!$D$21)^(B417-1)</x:f>
        <x:v>40.23159746331679</x:v>
      </x:c>
      <x:c r="N417" s="185" t="n">
        <x:f>IF(B417&lt;=MAX(MIN('詳細設定'!$D$8,20),0),MAX('詳細設定'!$D$7,0),IF(B417&lt;=MAX(MIN('詳細設定'!$D$10,20),0),MAX('詳細設定'!$D$9,0),MAX('詳細設定'!$D$11,0)))</x:f>
        <x:v>8.3</x:v>
      </x:c>
      <x:c r="O417" s="190" t="n">
        <x:f>K417*M417</x:f>
        <x:v>8886.946772769952</x:v>
      </x:c>
      <x:c r="P417" s="190" t="n">
        <x:f>L417*N417</x:f>
        <x:v>2750.139052317518</x:v>
      </x:c>
      <x:c r="Q417" s="190" t="n">
        <x:f>O417+P417</x:f>
        <x:v>11637.08582508747</x:v>
      </x:c>
      <x:c r="R417" s="196" t="n">
        <x:f>J417-K417-L417</x:f>
        <x:v>0</x:v>
      </x:c>
    </x:row>
    <x:row r="418">
      <x:c r="A418" s="20" t="str">
        <x:v>標準</x:v>
      </x:c>
      <x:c r="B418" s="20" t="n">
        <x:v>15</x:v>
      </x:c>
      <x:c r="C418" s="20" t="n">
        <x:v>6</x:v>
      </x:c>
      <x:c r="D418" s="189" t="n">
        <x:v>1</x:v>
      </x:c>
      <x:c r="E418" s="189" t="n">
        <x:v>1</x:v>
      </x:c>
      <x:c r="F418" s="189" t="n">
        <x:f>MAX(MIN('詳細設定'!$D$15+0,1),0)</x:f>
        <x:v>0.4</x:v>
      </x:c>
      <x:c r="G418" s="563" t="n">
        <x:f>'_計算月次'!$J$10</x:f>
        <x:v>448.7994857612148</x:v>
      </x:c>
      <x:c r="H418" s="563" t="n">
        <x:f>'_計算月次'!$K$10</x:f>
        <x:v>360</x:v>
      </x:c>
      <x:c r="I418" s="563" t="n">
        <x:f>(1-MAX(MIN('詳細設定'!$D$16,0.999999),0))^(B418-1)</x:f>
        <x:v>1</x:v>
      </x:c>
      <x:c r="J418" s="563" t="n">
        <x:f>MAX(G418*D418*I418,0)</x:f>
        <x:v>448.7994857612148</x:v>
      </x:c>
      <x:c r="K418" s="563" t="n">
        <x:f>MAX(MIN(J418*F418,H418),0)</x:f>
        <x:v>179.5197943044859</x:v>
      </x:c>
      <x:c r="L418" s="563" t="n">
        <x:f>MAX(J418-K418,0)</x:f>
        <x:v>269.27969145672887</x:v>
      </x:c>
      <x:c r="M418" s="185" t="n">
        <x:f>MAX('詳細設定'!$D$6,0)*(1+'詳細設定'!$D$21)^(B418-1)</x:f>
        <x:v>40.23159746331679</x:v>
      </x:c>
      <x:c r="N418" s="185" t="n">
        <x:f>IF(B418&lt;=MAX(MIN('詳細設定'!$D$8,20),0),MAX('詳細設定'!$D$7,0),IF(B418&lt;=MAX(MIN('詳細設定'!$D$10,20),0),MAX('詳細設定'!$D$9,0),MAX('詳細設定'!$D$11,0)))</x:f>
        <x:v>8.3</x:v>
      </x:c>
      <x:c r="O418" s="190" t="n">
        <x:f>K418*M418</x:f>
        <x:v>7222.368101155507</x:v>
      </x:c>
      <x:c r="P418" s="190" t="n">
        <x:f>L418*N418</x:f>
        <x:v>2235.02143909085</x:v>
      </x:c>
      <x:c r="Q418" s="190" t="n">
        <x:f>O418+P418</x:f>
        <x:v>9457.389540246357</x:v>
      </x:c>
      <x:c r="R418" s="196" t="n">
        <x:f>J418-K418-L418</x:f>
        <x:v>0</x:v>
      </x:c>
    </x:row>
    <x:row r="419">
      <x:c r="A419" s="20" t="str">
        <x:v>標準</x:v>
      </x:c>
      <x:c r="B419" s="20" t="n">
        <x:v>15</x:v>
      </x:c>
      <x:c r="C419" s="20" t="n">
        <x:v>7</x:v>
      </x:c>
      <x:c r="D419" s="189" t="n">
        <x:v>1</x:v>
      </x:c>
      <x:c r="E419" s="189" t="n">
        <x:v>1</x:v>
      </x:c>
      <x:c r="F419" s="189" t="n">
        <x:f>MAX(MIN('詳細設定'!$D$15+0,1),0)</x:f>
        <x:v>0.4</x:v>
      </x:c>
      <x:c r="G419" s="563" t="n">
        <x:f>'_計算月次'!$J$11</x:f>
        <x:v>476.0181638067866</x:v>
      </x:c>
      <x:c r="H419" s="563" t="n">
        <x:f>'_計算月次'!$K$11</x:f>
        <x:v>405</x:v>
      </x:c>
      <x:c r="I419" s="563" t="n">
        <x:f>(1-MAX(MIN('詳細設定'!$D$16,0.999999),0))^(B419-1)</x:f>
        <x:v>1</x:v>
      </x:c>
      <x:c r="J419" s="563" t="n">
        <x:f>MAX(G419*D419*I419,0)</x:f>
        <x:v>476.0181638067866</x:v>
      </x:c>
      <x:c r="K419" s="563" t="n">
        <x:f>MAX(MIN(J419*F419,H419),0)</x:f>
        <x:v>190.40726552271465</x:v>
      </x:c>
      <x:c r="L419" s="563" t="n">
        <x:f>MAX(J419-K419,0)</x:f>
        <x:v>285.61089828407194</x:v>
      </x:c>
      <x:c r="M419" s="185" t="n">
        <x:f>MAX('詳細設定'!$D$6,0)*(1+'詳細設定'!$D$21)^(B419-1)</x:f>
        <x:v>40.23159746331679</x:v>
      </x:c>
      <x:c r="N419" s="185" t="n">
        <x:f>IF(B419&lt;=MAX(MIN('詳細設定'!$D$8,20),0),MAX('詳細設定'!$D$7,0),IF(B419&lt;=MAX(MIN('詳細設定'!$D$10,20),0),MAX('詳細設定'!$D$9,0),MAX('詳細設定'!$D$11,0)))</x:f>
        <x:v>8.3</x:v>
      </x:c>
      <x:c r="O419" s="190" t="n">
        <x:f>K419*M419</x:f>
        <x:v>7660.388460600733</x:v>
      </x:c>
      <x:c r="P419" s="190" t="n">
        <x:f>L419*N419</x:f>
        <x:v>2370.5704557577974</x:v>
      </x:c>
      <x:c r="Q419" s="190" t="n">
        <x:f>O419+P419</x:f>
        <x:v>10030.95891635853</x:v>
      </x:c>
      <x:c r="R419" s="196" t="n">
        <x:f>J419-K419-L419</x:f>
        <x:v>0</x:v>
      </x:c>
    </x:row>
    <x:row r="420">
      <x:c r="A420" s="20" t="str">
        <x:v>標準</x:v>
      </x:c>
      <x:c r="B420" s="20" t="n">
        <x:v>15</x:v>
      </x:c>
      <x:c r="C420" s="20" t="n">
        <x:v>8</x:v>
      </x:c>
      <x:c r="D420" s="189" t="n">
        <x:v>1</x:v>
      </x:c>
      <x:c r="E420" s="189" t="n">
        <x:v>1</x:v>
      </x:c>
      <x:c r="F420" s="189" t="n">
        <x:f>MAX(MIN('詳細設定'!$D$15+0,1),0)</x:f>
        <x:v>0.4</x:v>
      </x:c>
      <x:c r="G420" s="563" t="n">
        <x:f>'_計算月次'!$J$12</x:f>
        <x:v>528.6548067323699</x:v>
      </x:c>
      <x:c r="H420" s="563" t="n">
        <x:f>'_計算月次'!$K$12</x:f>
        <x:v>450</x:v>
      </x:c>
      <x:c r="I420" s="563" t="n">
        <x:f>(1-MAX(MIN('詳細設定'!$D$16,0.999999),0))^(B420-1)</x:f>
        <x:v>1</x:v>
      </x:c>
      <x:c r="J420" s="563" t="n">
        <x:f>MAX(G420*D420*I420,0)</x:f>
        <x:v>528.6548067323699</x:v>
      </x:c>
      <x:c r="K420" s="563" t="n">
        <x:f>MAX(MIN(J420*F420,H420),0)</x:f>
        <x:v>211.46192269294798</x:v>
      </x:c>
      <x:c r="L420" s="563" t="n">
        <x:f>MAX(J420-K420,0)</x:f>
        <x:v>317.192884039422</x:v>
      </x:c>
      <x:c r="M420" s="185" t="n">
        <x:f>MAX('詳細設定'!$D$6,0)*(1+'詳細設定'!$D$21)^(B420-1)</x:f>
        <x:v>40.23159746331679</x:v>
      </x:c>
      <x:c r="N420" s="185" t="n">
        <x:f>IF(B420&lt;=MAX(MIN('詳細設定'!$D$8,20),0),MAX('詳細設定'!$D$7,0),IF(B420&lt;=MAX(MIN('詳細設定'!$D$10,20),0),MAX('詳細設定'!$D$9,0),MAX('詳細設定'!$D$11,0)))</x:f>
        <x:v>8.3</x:v>
      </x:c>
      <x:c r="O420" s="190" t="n">
        <x:f>K420*M420</x:f>
        <x:v>8507.450952601697</x:v>
      </x:c>
      <x:c r="P420" s="190" t="n">
        <x:f>L420*N420</x:f>
        <x:v>2632.7009375272028</x:v>
      </x:c>
      <x:c r="Q420" s="190" t="n">
        <x:f>O420+P420</x:f>
        <x:v>11140.1518901289</x:v>
      </x:c>
      <x:c r="R420" s="196" t="n">
        <x:f>J420-K420-L420</x:f>
        <x:v>0</x:v>
      </x:c>
    </x:row>
    <x:row r="421">
      <x:c r="A421" s="20" t="str">
        <x:v>標準</x:v>
      </x:c>
      <x:c r="B421" s="20" t="n">
        <x:v>15</x:v>
      </x:c>
      <x:c r="C421" s="20" t="n">
        <x:v>9</x:v>
      </x:c>
      <x:c r="D421" s="189" t="n">
        <x:v>1</x:v>
      </x:c>
      <x:c r="E421" s="189" t="n">
        <x:v>1</x:v>
      </x:c>
      <x:c r="F421" s="189" t="n">
        <x:f>MAX(MIN('詳細設定'!$D$15+0,1),0)</x:f>
        <x:v>0.4</x:v>
      </x:c>
      <x:c r="G421" s="563" t="n">
        <x:f>'_計算月次'!$J$13</x:f>
        <x:v>436.37734765103465</x:v>
      </x:c>
      <x:c r="H421" s="563" t="n">
        <x:f>'_計算月次'!$K$13</x:f>
        <x:v>360</x:v>
      </x:c>
      <x:c r="I421" s="563" t="n">
        <x:f>(1-MAX(MIN('詳細設定'!$D$16,0.999999),0))^(B421-1)</x:f>
        <x:v>1</x:v>
      </x:c>
      <x:c r="J421" s="563" t="n">
        <x:f>MAX(G421*D421*I421,0)</x:f>
        <x:v>436.37734765103465</x:v>
      </x:c>
      <x:c r="K421" s="563" t="n">
        <x:f>MAX(MIN(J421*F421,H421),0)</x:f>
        <x:v>174.55093906041387</x:v>
      </x:c>
      <x:c r="L421" s="563" t="n">
        <x:f>MAX(J421-K421,0)</x:f>
        <x:v>261.82640859062076</x:v>
      </x:c>
      <x:c r="M421" s="185" t="n">
        <x:f>MAX('詳細設定'!$D$6,0)*(1+'詳細設定'!$D$21)^(B421-1)</x:f>
        <x:v>40.23159746331679</x:v>
      </x:c>
      <x:c r="N421" s="185" t="n">
        <x:f>IF(B421&lt;=MAX(MIN('詳細設定'!$D$8,20),0),MAX('詳細設定'!$D$7,0),IF(B421&lt;=MAX(MIN('詳細設定'!$D$10,20),0),MAX('詳細設定'!$D$9,0),MAX('詳細設定'!$D$11,0)))</x:f>
        <x:v>8.3</x:v>
      </x:c>
      <x:c r="O421" s="190" t="n">
        <x:f>K421*M421</x:f>
        <x:v>7022.46311712251</x:v>
      </x:c>
      <x:c r="P421" s="190" t="n">
        <x:f>L421*N421</x:f>
        <x:v>2173.1591913021525</x:v>
      </x:c>
      <x:c r="Q421" s="190" t="n">
        <x:f>O421+P421</x:f>
        <x:v>9195.622308424663</x:v>
      </x:c>
      <x:c r="R421" s="196" t="n">
        <x:f>J421-K421-L421</x:f>
        <x:v>0</x:v>
      </x:c>
    </x:row>
    <x:row r="422">
      <x:c r="A422" s="20" t="str">
        <x:v>標準</x:v>
      </x:c>
      <x:c r="B422" s="20" t="n">
        <x:v>15</x:v>
      </x:c>
      <x:c r="C422" s="20" t="n">
        <x:v>10</x:v>
      </x:c>
      <x:c r="D422" s="189" t="n">
        <x:v>1</x:v>
      </x:c>
      <x:c r="E422" s="189" t="n">
        <x:v>1</x:v>
      </x:c>
      <x:c r="F422" s="189" t="n">
        <x:f>MAX(MIN('詳細設定'!$D$15+0,1),0)</x:f>
        <x:v>0.4</x:v>
      </x:c>
      <x:c r="G422" s="563" t="n">
        <x:f>'_計算月次'!$J$14</x:f>
        <x:v>408.8269849869007</x:v>
      </x:c>
      <x:c r="H422" s="563" t="n">
        <x:f>'_計算月次'!$K$14</x:f>
        <x:v>315.00000000000006</x:v>
      </x:c>
      <x:c r="I422" s="563" t="n">
        <x:f>(1-MAX(MIN('詳細設定'!$D$16,0.999999),0))^(B422-1)</x:f>
        <x:v>1</x:v>
      </x:c>
      <x:c r="J422" s="563" t="n">
        <x:f>MAX(G422*D422*I422,0)</x:f>
        <x:v>408.8269849869007</x:v>
      </x:c>
      <x:c r="K422" s="563" t="n">
        <x:f>MAX(MIN(J422*F422,H422),0)</x:f>
        <x:v>163.5307939947603</x:v>
      </x:c>
      <x:c r="L422" s="563" t="n">
        <x:f>MAX(J422-K422,0)</x:f>
        <x:v>245.2961909921404</x:v>
      </x:c>
      <x:c r="M422" s="185" t="n">
        <x:f>MAX('詳細設定'!$D$6,0)*(1+'詳細設定'!$D$21)^(B422-1)</x:f>
        <x:v>40.23159746331679</x:v>
      </x:c>
      <x:c r="N422" s="185" t="n">
        <x:f>IF(B422&lt;=MAX(MIN('詳細設定'!$D$8,20),0),MAX('詳細設定'!$D$7,0),IF(B422&lt;=MAX(MIN('詳細設定'!$D$10,20),0),MAX('詳細設定'!$D$9,0),MAX('詳細設定'!$D$11,0)))</x:f>
        <x:v>8.3</x:v>
      </x:c>
      <x:c r="O422" s="190" t="n">
        <x:f>K422*M422</x:f>
        <x:v>6579.105076853779</x:v>
      </x:c>
      <x:c r="P422" s="190" t="n">
        <x:f>L422*N422</x:f>
        <x:v>2035.9583852347655</x:v>
      </x:c>
      <x:c r="Q422" s="190" t="n">
        <x:f>O422+P422</x:f>
        <x:v>8615.063462088545</x:v>
      </x:c>
      <x:c r="R422" s="196" t="n">
        <x:f>J422-K422-L422</x:f>
        <x:v>0</x:v>
      </x:c>
    </x:row>
    <x:row r="423">
      <x:c r="A423" s="20" t="str">
        <x:v>標準</x:v>
      </x:c>
      <x:c r="B423" s="20" t="n">
        <x:v>15</x:v>
      </x:c>
      <x:c r="C423" s="20" t="n">
        <x:v>11</x:v>
      </x:c>
      <x:c r="D423" s="189" t="n">
        <x:v>1</x:v>
      </x:c>
      <x:c r="E423" s="189" t="n">
        <x:v>1</x:v>
      </x:c>
      <x:c r="F423" s="189" t="n">
        <x:f>MAX(MIN('詳細設定'!$D$15+0,1),0)</x:f>
        <x:v>0.4</x:v>
      </x:c>
      <x:c r="G423" s="563" t="n">
        <x:f>'_計算月次'!$J$15</x:f>
        <x:v>398.45169764745054</x:v>
      </x:c>
      <x:c r="H423" s="563" t="n">
        <x:f>'_計算月次'!$K$15</x:f>
        <x:v>360</x:v>
      </x:c>
      <x:c r="I423" s="563" t="n">
        <x:f>(1-MAX(MIN('詳細設定'!$D$16,0.999999),0))^(B423-1)</x:f>
        <x:v>1</x:v>
      </x:c>
      <x:c r="J423" s="563" t="n">
        <x:f>MAX(G423*D423*I423,0)</x:f>
        <x:v>398.45169764745054</x:v>
      </x:c>
      <x:c r="K423" s="563" t="n">
        <x:f>MAX(MIN(J423*F423,H423),0)</x:f>
        <x:v>159.38067905898023</x:v>
      </x:c>
      <x:c r="L423" s="563" t="n">
        <x:f>MAX(J423-K423,0)</x:f>
        <x:v>239.0710185884703</x:v>
      </x:c>
      <x:c r="M423" s="185" t="n">
        <x:f>MAX('詳細設定'!$D$6,0)*(1+'詳細設定'!$D$21)^(B423-1)</x:f>
        <x:v>40.23159746331679</x:v>
      </x:c>
      <x:c r="N423" s="185" t="n">
        <x:f>IF(B423&lt;=MAX(MIN('詳細設定'!$D$8,20),0),MAX('詳細設定'!$D$7,0),IF(B423&lt;=MAX(MIN('詳細設定'!$D$10,20),0),MAX('詳細設定'!$D$9,0),MAX('詳細設定'!$D$11,0)))</x:f>
        <x:v>8.3</x:v>
      </x:c>
      <x:c r="O423" s="190" t="n">
        <x:f>K423*M423</x:f>
        <x:v>6412.139323330976</x:v>
      </x:c>
      <x:c r="P423" s="190" t="n">
        <x:f>L423*N423</x:f>
        <x:v>1984.2894542843037</x:v>
      </x:c>
      <x:c r="Q423" s="190" t="n">
        <x:f>O423+P423</x:f>
        <x:v>8396.42877761528</x:v>
      </x:c>
      <x:c r="R423" s="196" t="n">
        <x:f>J423-K423-L423</x:f>
        <x:v>0</x:v>
      </x:c>
    </x:row>
    <x:row r="424">
      <x:c r="A424" s="20" t="str">
        <x:v>標準</x:v>
      </x:c>
      <x:c r="B424" s="20" t="n">
        <x:v>15</x:v>
      </x:c>
      <x:c r="C424" s="20" t="n">
        <x:v>12</x:v>
      </x:c>
      <x:c r="D424" s="189" t="n">
        <x:v>1</x:v>
      </x:c>
      <x:c r="E424" s="189" t="n">
        <x:v>1</x:v>
      </x:c>
      <x:c r="F424" s="189" t="n">
        <x:f>MAX(MIN('詳細設定'!$D$15+0,1),0)</x:f>
        <x:v>0.4</x:v>
      </x:c>
      <x:c r="G424" s="563" t="n">
        <x:f>'_計算月次'!$J$16</x:f>
        <x:v>443.97248688000184</x:v>
      </x:c>
      <x:c r="H424" s="563" t="n">
        <x:f>'_計算月次'!$K$16</x:f>
        <x:v>405</x:v>
      </x:c>
      <x:c r="I424" s="563" t="n">
        <x:f>(1-MAX(MIN('詳細設定'!$D$16,0.999999),0))^(B424-1)</x:f>
        <x:v>1</x:v>
      </x:c>
      <x:c r="J424" s="563" t="n">
        <x:f>MAX(G424*D424*I424,0)</x:f>
        <x:v>443.97248688000184</x:v>
      </x:c>
      <x:c r="K424" s="563" t="n">
        <x:f>MAX(MIN(J424*F424,H424),0)</x:f>
        <x:v>177.58899475200076</x:v>
      </x:c>
      <x:c r="L424" s="563" t="n">
        <x:f>MAX(J424-K424,0)</x:f>
        <x:v>266.3834921280011</x:v>
      </x:c>
      <x:c r="M424" s="185" t="n">
        <x:f>MAX('詳細設定'!$D$6,0)*(1+'詳細設定'!$D$21)^(B424-1)</x:f>
        <x:v>40.23159746331679</x:v>
      </x:c>
      <x:c r="N424" s="185" t="n">
        <x:f>IF(B424&lt;=MAX(MIN('詳細設定'!$D$8,20),0),MAX('詳細設定'!$D$7,0),IF(B424&lt;=MAX(MIN('詳細設定'!$D$10,20),0),MAX('詳細設定'!$D$9,0),MAX('詳細設定'!$D$11,0)))</x:f>
        <x:v>8.3</x:v>
      </x:c>
      <x:c r="O424" s="190" t="n">
        <x:f>K424*M424</x:f>
        <x:v>7144.688950777572</x:v>
      </x:c>
      <x:c r="P424" s="190" t="n">
        <x:f>L424*N424</x:f>
        <x:v>2210.9829846624093</x:v>
      </x:c>
      <x:c r="Q424" s="190" t="n">
        <x:f>O424+P424</x:f>
        <x:v>9355.671935439981</x:v>
      </x:c>
      <x:c r="R424" s="196" t="n">
        <x:f>J424-K424-L424</x:f>
        <x:v>0</x:v>
      </x:c>
    </x:row>
    <x:row r="425">
      <x:c r="A425" s="20" t="str">
        <x:v>標準</x:v>
      </x:c>
      <x:c r="B425" s="20" t="n">
        <x:v>16</x:v>
      </x:c>
      <x:c r="C425" s="20" t="n">
        <x:v>1</x:v>
      </x:c>
      <x:c r="D425" s="189" t="n">
        <x:v>1</x:v>
      </x:c>
      <x:c r="E425" s="189" t="n">
        <x:v>1</x:v>
      </x:c>
      <x:c r="F425" s="189" t="n">
        <x:f>MAX(MIN('詳細設定'!$D$15+0,1),0)</x:f>
        <x:v>0.4</x:v>
      </x:c>
      <x:c r="G425" s="563" t="n">
        <x:f>'_計算月次'!$J$5</x:f>
        <x:v>502.4147595742038</x:v>
      </x:c>
      <x:c r="H425" s="563" t="n">
        <x:f>'_計算月次'!$K$5</x:f>
        <x:v>450</x:v>
      </x:c>
      <x:c r="I425" s="563" t="n">
        <x:f>(1-MAX(MIN('詳細設定'!$D$16,0.999999),0))^(B425-1)</x:f>
        <x:v>1</x:v>
      </x:c>
      <x:c r="J425" s="563" t="n">
        <x:f>MAX(G425*D425*I425,0)</x:f>
        <x:v>502.4147595742038</x:v>
      </x:c>
      <x:c r="K425" s="563" t="n">
        <x:f>MAX(MIN(J425*F425,H425),0)</x:f>
        <x:v>200.96590382968154</x:v>
      </x:c>
      <x:c r="L425" s="563" t="n">
        <x:f>MAX(J425-K425,0)</x:f>
        <x:v>301.44885574452223</x:v>
      </x:c>
      <x:c r="M425" s="185" t="n">
        <x:f>MAX('詳細設定'!$D$6,0)*(1+'詳細設定'!$D$21)^(B425-1)</x:f>
        <x:v>40.63391343794996</x:v>
      </x:c>
      <x:c r="N425" s="185" t="n">
        <x:f>IF(B425&lt;=MAX(MIN('詳細設定'!$D$8,20),0),MAX('詳細設定'!$D$7,0),IF(B425&lt;=MAX(MIN('詳細設定'!$D$10,20),0),MAX('詳細設定'!$D$9,0),MAX('詳細設定'!$D$11,0)))</x:f>
        <x:v>8.3</x:v>
      </x:c>
      <x:c r="O425" s="190" t="n">
        <x:f>K425*M425</x:f>
        <x:v>8166.031140194656</x:v>
      </x:c>
      <x:c r="P425" s="190" t="n">
        <x:f>L425*N425</x:f>
        <x:v>2502.025502679535</x:v>
      </x:c>
      <x:c r="Q425" s="190" t="n">
        <x:f>O425+P425</x:f>
        <x:v>10668.056642874191</x:v>
      </x:c>
      <x:c r="R425" s="196" t="n">
        <x:f>J425-K425-L425</x:f>
        <x:v>0</x:v>
      </x:c>
    </x:row>
    <x:row r="426">
      <x:c r="A426" s="20" t="str">
        <x:v>標準</x:v>
      </x:c>
      <x:c r="B426" s="20" t="n">
        <x:v>16</x:v>
      </x:c>
      <x:c r="C426" s="20" t="n">
        <x:v>2</x:v>
      </x:c>
      <x:c r="D426" s="189" t="n">
        <x:v>1</x:v>
      </x:c>
      <x:c r="E426" s="189" t="n">
        <x:v>1</x:v>
      </x:c>
      <x:c r="F426" s="189" t="n">
        <x:f>MAX(MIN('詳細設定'!$D$15+0,1),0)</x:f>
        <x:v>0.4</x:v>
      </x:c>
      <x:c r="G426" s="563" t="n">
        <x:f>'_計算月次'!$J$6</x:f>
        <x:v>472.4508339500229</x:v>
      </x:c>
      <x:c r="H426" s="563" t="n">
        <x:f>'_計算月次'!$K$6</x:f>
        <x:v>405</x:v>
      </x:c>
      <x:c r="I426" s="563" t="n">
        <x:f>(1-MAX(MIN('詳細設定'!$D$16,0.999999),0))^(B426-1)</x:f>
        <x:v>1</x:v>
      </x:c>
      <x:c r="J426" s="563" t="n">
        <x:f>MAX(G426*D426*I426,0)</x:f>
        <x:v>472.4508339500229</x:v>
      </x:c>
      <x:c r="K426" s="563" t="n">
        <x:f>MAX(MIN(J426*F426,H426),0)</x:f>
        <x:v>188.9803335800092</x:v>
      </x:c>
      <x:c r="L426" s="563" t="n">
        <x:f>MAX(J426-K426,0)</x:f>
        <x:v>283.4705003700137</x:v>
      </x:c>
      <x:c r="M426" s="185" t="n">
        <x:f>MAX('詳細設定'!$D$6,0)*(1+'詳細設定'!$D$21)^(B426-1)</x:f>
        <x:v>40.63391343794996</x:v>
      </x:c>
      <x:c r="N426" s="185" t="n">
        <x:f>IF(B426&lt;=MAX(MIN('詳細設定'!$D$8,20),0),MAX('詳細設定'!$D$7,0),IF(B426&lt;=MAX(MIN('詳細設定'!$D$10,20),0),MAX('詳細設定'!$D$9,0),MAX('詳細設定'!$D$11,0)))</x:f>
        <x:v>8.3</x:v>
      </x:c>
      <x:c r="O426" s="190" t="n">
        <x:f>K426*M426</x:f>
        <x:v>7679.010516165001</x:v>
      </x:c>
      <x:c r="P426" s="190" t="n">
        <x:f>L426*N426</x:f>
        <x:v>2352.805153071114</x:v>
      </x:c>
      <x:c r="Q426" s="190" t="n">
        <x:f>O426+P426</x:f>
        <x:v>10031.815669236115</x:v>
      </x:c>
      <x:c r="R426" s="196" t="n">
        <x:f>J426-K426-L426</x:f>
        <x:v>0</x:v>
      </x:c>
    </x:row>
    <x:row r="427">
      <x:c r="A427" s="20" t="str">
        <x:v>標準</x:v>
      </x:c>
      <x:c r="B427" s="20" t="n">
        <x:v>16</x:v>
      </x:c>
      <x:c r="C427" s="20" t="n">
        <x:v>3</x:v>
      </x:c>
      <x:c r="D427" s="189" t="n">
        <x:v>1</x:v>
      </x:c>
      <x:c r="E427" s="189" t="n">
        <x:v>1</x:v>
      </x:c>
      <x:c r="F427" s="189" t="n">
        <x:f>MAX(MIN('詳細設定'!$D$15+0,1),0)</x:f>
        <x:v>0.4</x:v>
      </x:c>
      <x:c r="G427" s="563" t="n">
        <x:f>'_計算月次'!$J$7</x:f>
        <x:v>548.3418864753118</x:v>
      </x:c>
      <x:c r="H427" s="563" t="n">
        <x:f>'_計算月次'!$K$7</x:f>
        <x:v>360</x:v>
      </x:c>
      <x:c r="I427" s="563" t="n">
        <x:f>(1-MAX(MIN('詳細設定'!$D$16,0.999999),0))^(B427-1)</x:f>
        <x:v>1</x:v>
      </x:c>
      <x:c r="J427" s="563" t="n">
        <x:f>MAX(G427*D427*I427,0)</x:f>
        <x:v>548.3418864753118</x:v>
      </x:c>
      <x:c r="K427" s="563" t="n">
        <x:f>MAX(MIN(J427*F427,H427),0)</x:f>
        <x:v>219.3367545901247</x:v>
      </x:c>
      <x:c r="L427" s="563" t="n">
        <x:f>MAX(J427-K427,0)</x:f>
        <x:v>329.00513188518704</x:v>
      </x:c>
      <x:c r="M427" s="185" t="n">
        <x:f>MAX('詳細設定'!$D$6,0)*(1+'詳細設定'!$D$21)^(B427-1)</x:f>
        <x:v>40.63391343794996</x:v>
      </x:c>
      <x:c r="N427" s="185" t="n">
        <x:f>IF(B427&lt;=MAX(MIN('詳細設定'!$D$8,20),0),MAX('詳細設定'!$D$7,0),IF(B427&lt;=MAX(MIN('詳細設定'!$D$10,20),0),MAX('詳細設定'!$D$9,0),MAX('詳細設定'!$D$11,0)))</x:f>
        <x:v>8.3</x:v>
      </x:c>
      <x:c r="O427" s="190" t="n">
        <x:f>K427*M427</x:f>
        <x:v>8912.510699776001</x:v>
      </x:c>
      <x:c r="P427" s="190" t="n">
        <x:f>L427*N427</x:f>
        <x:v>2730.7425946470526</x:v>
      </x:c>
      <x:c r="Q427" s="190" t="n">
        <x:f>O427+P427</x:f>
        <x:v>11643.253294423053</x:v>
      </x:c>
      <x:c r="R427" s="196" t="n">
        <x:f>J427-K427-L427</x:f>
        <x:v>0</x:v>
      </x:c>
    </x:row>
    <x:row r="428">
      <x:c r="A428" s="20" t="str">
        <x:v>標準</x:v>
      </x:c>
      <x:c r="B428" s="20" t="n">
        <x:v>16</x:v>
      </x:c>
      <x:c r="C428" s="20" t="n">
        <x:v>4</x:v>
      </x:c>
      <x:c r="D428" s="189" t="n">
        <x:v>1</x:v>
      </x:c>
      <x:c r="E428" s="189" t="n">
        <x:v>1</x:v>
      </x:c>
      <x:c r="F428" s="189" t="n">
        <x:f>MAX(MIN('詳細設定'!$D$15+0,1),0)</x:f>
        <x:v>0.4</x:v>
      </x:c>
      <x:c r="G428" s="563" t="n">
        <x:f>'_計算月次'!$J$8</x:f>
        <x:v>548.3944393749554</x:v>
      </x:c>
      <x:c r="H428" s="563" t="n">
        <x:f>'_計算月次'!$K$8</x:f>
        <x:v>315.00000000000006</x:v>
      </x:c>
      <x:c r="I428" s="563" t="n">
        <x:f>(1-MAX(MIN('詳細設定'!$D$16,0.999999),0))^(B428-1)</x:f>
        <x:v>1</x:v>
      </x:c>
      <x:c r="J428" s="563" t="n">
        <x:f>MAX(G428*D428*I428,0)</x:f>
        <x:v>548.3944393749554</x:v>
      </x:c>
      <x:c r="K428" s="563" t="n">
        <x:f>MAX(MIN(J428*F428,H428),0)</x:f>
        <x:v>219.35777574998215</x:v>
      </x:c>
      <x:c r="L428" s="563" t="n">
        <x:f>MAX(J428-K428,0)</x:f>
        <x:v>329.03666362497324</x:v>
      </x:c>
      <x:c r="M428" s="185" t="n">
        <x:f>MAX('詳細設定'!$D$6,0)*(1+'詳細設定'!$D$21)^(B428-1)</x:f>
        <x:v>40.63391343794996</x:v>
      </x:c>
      <x:c r="N428" s="185" t="n">
        <x:f>IF(B428&lt;=MAX(MIN('詳細設定'!$D$8,20),0),MAX('詳細設定'!$D$7,0),IF(B428&lt;=MAX(MIN('詳細設定'!$D$10,20),0),MAX('詳細設定'!$D$9,0),MAX('詳細設定'!$D$11,0)))</x:f>
        <x:v>8.3</x:v>
      </x:c>
      <x:c r="O428" s="190" t="n">
        <x:f>K428*M428</x:f>
        <x:v>8913.364871766013</x:v>
      </x:c>
      <x:c r="P428" s="190" t="n">
        <x:f>L428*N428</x:f>
        <x:v>2731.0043080872783</x:v>
      </x:c>
      <x:c r="Q428" s="190" t="n">
        <x:f>O428+P428</x:f>
        <x:v>11644.369179853291</x:v>
      </x:c>
      <x:c r="R428" s="196" t="n">
        <x:f>J428-K428-L428</x:f>
        <x:v>0</x:v>
      </x:c>
    </x:row>
    <x:row r="429">
      <x:c r="A429" s="20" t="str">
        <x:v>標準</x:v>
      </x:c>
      <x:c r="B429" s="20" t="n">
        <x:v>16</x:v>
      </x:c>
      <x:c r="C429" s="20" t="n">
        <x:v>5</x:v>
      </x:c>
      <x:c r="D429" s="189" t="n">
        <x:v>1</x:v>
      </x:c>
      <x:c r="E429" s="189" t="n">
        <x:v>1</x:v>
      </x:c>
      <x:c r="F429" s="189" t="n">
        <x:f>MAX(MIN('詳細設定'!$D$15+0,1),0)</x:f>
        <x:v>0.4</x:v>
      </x:c>
      <x:c r="G429" s="563" t="n">
        <x:f>'_計算月次'!$J$9</x:f>
        <x:v>552.2367574934775</x:v>
      </x:c>
      <x:c r="H429" s="563" t="n">
        <x:f>'_計算月次'!$K$9</x:f>
        <x:v>315.00000000000006</x:v>
      </x:c>
      <x:c r="I429" s="563" t="n">
        <x:f>(1-MAX(MIN('詳細設定'!$D$16,0.999999),0))^(B429-1)</x:f>
        <x:v>1</x:v>
      </x:c>
      <x:c r="J429" s="563" t="n">
        <x:f>MAX(G429*D429*I429,0)</x:f>
        <x:v>552.2367574934775</x:v>
      </x:c>
      <x:c r="K429" s="563" t="n">
        <x:f>MAX(MIN(J429*F429,H429),0)</x:f>
        <x:v>220.89470299739102</x:v>
      </x:c>
      <x:c r="L429" s="563" t="n">
        <x:f>MAX(J429-K429,0)</x:f>
        <x:v>331.34205449608646</x:v>
      </x:c>
      <x:c r="M429" s="185" t="n">
        <x:f>MAX('詳細設定'!$D$6,0)*(1+'詳細設定'!$D$21)^(B429-1)</x:f>
        <x:v>40.63391343794996</x:v>
      </x:c>
      <x:c r="N429" s="185" t="n">
        <x:f>IF(B429&lt;=MAX(MIN('詳細設定'!$D$8,20),0),MAX('詳細設定'!$D$7,0),IF(B429&lt;=MAX(MIN('詳細設定'!$D$10,20),0),MAX('詳細設定'!$D$9,0),MAX('詳細設定'!$D$11,0)))</x:f>
        <x:v>8.3</x:v>
      </x:c>
      <x:c r="O429" s="190" t="n">
        <x:f>K429*M429</x:f>
        <x:v>8975.816240497652</x:v>
      </x:c>
      <x:c r="P429" s="190" t="n">
        <x:f>L429*N429</x:f>
        <x:v>2750.139052317518</x:v>
      </x:c>
      <x:c r="Q429" s="190" t="n">
        <x:f>O429+P429</x:f>
        <x:v>11725.95529281517</x:v>
      </x:c>
      <x:c r="R429" s="196" t="n">
        <x:f>J429-K429-L429</x:f>
        <x:v>0</x:v>
      </x:c>
    </x:row>
    <x:row r="430">
      <x:c r="A430" s="20" t="str">
        <x:v>標準</x:v>
      </x:c>
      <x:c r="B430" s="20" t="n">
        <x:v>16</x:v>
      </x:c>
      <x:c r="C430" s="20" t="n">
        <x:v>6</x:v>
      </x:c>
      <x:c r="D430" s="189" t="n">
        <x:v>1</x:v>
      </x:c>
      <x:c r="E430" s="189" t="n">
        <x:v>1</x:v>
      </x:c>
      <x:c r="F430" s="189" t="n">
        <x:f>MAX(MIN('詳細設定'!$D$15+0,1),0)</x:f>
        <x:v>0.4</x:v>
      </x:c>
      <x:c r="G430" s="563" t="n">
        <x:f>'_計算月次'!$J$10</x:f>
        <x:v>448.7994857612148</x:v>
      </x:c>
      <x:c r="H430" s="563" t="n">
        <x:f>'_計算月次'!$K$10</x:f>
        <x:v>360</x:v>
      </x:c>
      <x:c r="I430" s="563" t="n">
        <x:f>(1-MAX(MIN('詳細設定'!$D$16,0.999999),0))^(B430-1)</x:f>
        <x:v>1</x:v>
      </x:c>
      <x:c r="J430" s="563" t="n">
        <x:f>MAX(G430*D430*I430,0)</x:f>
        <x:v>448.7994857612148</x:v>
      </x:c>
      <x:c r="K430" s="563" t="n">
        <x:f>MAX(MIN(J430*F430,H430),0)</x:f>
        <x:v>179.5197943044859</x:v>
      </x:c>
      <x:c r="L430" s="563" t="n">
        <x:f>MAX(J430-K430,0)</x:f>
        <x:v>269.27969145672887</x:v>
      </x:c>
      <x:c r="M430" s="185" t="n">
        <x:f>MAX('詳細設定'!$D$6,0)*(1+'詳細設定'!$D$21)^(B430-1)</x:f>
        <x:v>40.63391343794996</x:v>
      </x:c>
      <x:c r="N430" s="185" t="n">
        <x:f>IF(B430&lt;=MAX(MIN('詳細設定'!$D$8,20),0),MAX('詳細設定'!$D$7,0),IF(B430&lt;=MAX(MIN('詳細設定'!$D$10,20),0),MAX('詳細設定'!$D$9,0),MAX('詳細設定'!$D$11,0)))</x:f>
        <x:v>8.3</x:v>
      </x:c>
      <x:c r="O430" s="190" t="n">
        <x:f>K430*M430</x:f>
        <x:v>7294.591782167062</x:v>
      </x:c>
      <x:c r="P430" s="190" t="n">
        <x:f>L430*N430</x:f>
        <x:v>2235.02143909085</x:v>
      </x:c>
      <x:c r="Q430" s="190" t="n">
        <x:f>O430+P430</x:f>
        <x:v>9529.613221257912</x:v>
      </x:c>
      <x:c r="R430" s="196" t="n">
        <x:f>J430-K430-L430</x:f>
        <x:v>0</x:v>
      </x:c>
    </x:row>
    <x:row r="431">
      <x:c r="A431" s="20" t="str">
        <x:v>標準</x:v>
      </x:c>
      <x:c r="B431" s="20" t="n">
        <x:v>16</x:v>
      </x:c>
      <x:c r="C431" s="20" t="n">
        <x:v>7</x:v>
      </x:c>
      <x:c r="D431" s="189" t="n">
        <x:v>1</x:v>
      </x:c>
      <x:c r="E431" s="189" t="n">
        <x:v>1</x:v>
      </x:c>
      <x:c r="F431" s="189" t="n">
        <x:f>MAX(MIN('詳細設定'!$D$15+0,1),0)</x:f>
        <x:v>0.4</x:v>
      </x:c>
      <x:c r="G431" s="563" t="n">
        <x:f>'_計算月次'!$J$11</x:f>
        <x:v>476.0181638067866</x:v>
      </x:c>
      <x:c r="H431" s="563" t="n">
        <x:f>'_計算月次'!$K$11</x:f>
        <x:v>405</x:v>
      </x:c>
      <x:c r="I431" s="563" t="n">
        <x:f>(1-MAX(MIN('詳細設定'!$D$16,0.999999),0))^(B431-1)</x:f>
        <x:v>1</x:v>
      </x:c>
      <x:c r="J431" s="563" t="n">
        <x:f>MAX(G431*D431*I431,0)</x:f>
        <x:v>476.0181638067866</x:v>
      </x:c>
      <x:c r="K431" s="563" t="n">
        <x:f>MAX(MIN(J431*F431,H431),0)</x:f>
        <x:v>190.40726552271465</x:v>
      </x:c>
      <x:c r="L431" s="563" t="n">
        <x:f>MAX(J431-K431,0)</x:f>
        <x:v>285.61089828407194</x:v>
      </x:c>
      <x:c r="M431" s="185" t="n">
        <x:f>MAX('詳細設定'!$D$6,0)*(1+'詳細設定'!$D$21)^(B431-1)</x:f>
        <x:v>40.63391343794996</x:v>
      </x:c>
      <x:c r="N431" s="185" t="n">
        <x:f>IF(B431&lt;=MAX(MIN('詳細設定'!$D$8,20),0),MAX('詳細設定'!$D$7,0),IF(B431&lt;=MAX(MIN('詳細設定'!$D$10,20),0),MAX('詳細設定'!$D$9,0),MAX('詳細設定'!$D$11,0)))</x:f>
        <x:v>8.3</x:v>
      </x:c>
      <x:c r="O431" s="190" t="n">
        <x:f>K431*M431</x:f>
        <x:v>7736.9923452067405</x:v>
      </x:c>
      <x:c r="P431" s="190" t="n">
        <x:f>L431*N431</x:f>
        <x:v>2370.5704557577974</x:v>
      </x:c>
      <x:c r="Q431" s="190" t="n">
        <x:f>O431+P431</x:f>
        <x:v>10107.562800964537</x:v>
      </x:c>
      <x:c r="R431" s="196" t="n">
        <x:f>J431-K431-L431</x:f>
        <x:v>0</x:v>
      </x:c>
    </x:row>
    <x:row r="432">
      <x:c r="A432" s="20" t="str">
        <x:v>標準</x:v>
      </x:c>
      <x:c r="B432" s="20" t="n">
        <x:v>16</x:v>
      </x:c>
      <x:c r="C432" s="20" t="n">
        <x:v>8</x:v>
      </x:c>
      <x:c r="D432" s="189" t="n">
        <x:v>1</x:v>
      </x:c>
      <x:c r="E432" s="189" t="n">
        <x:v>1</x:v>
      </x:c>
      <x:c r="F432" s="189" t="n">
        <x:f>MAX(MIN('詳細設定'!$D$15+0,1),0)</x:f>
        <x:v>0.4</x:v>
      </x:c>
      <x:c r="G432" s="563" t="n">
        <x:f>'_計算月次'!$J$12</x:f>
        <x:v>528.6548067323699</x:v>
      </x:c>
      <x:c r="H432" s="563" t="n">
        <x:f>'_計算月次'!$K$12</x:f>
        <x:v>450</x:v>
      </x:c>
      <x:c r="I432" s="563" t="n">
        <x:f>(1-MAX(MIN('詳細設定'!$D$16,0.999999),0))^(B432-1)</x:f>
        <x:v>1</x:v>
      </x:c>
      <x:c r="J432" s="563" t="n">
        <x:f>MAX(G432*D432*I432,0)</x:f>
        <x:v>528.6548067323699</x:v>
      </x:c>
      <x:c r="K432" s="563" t="n">
        <x:f>MAX(MIN(J432*F432,H432),0)</x:f>
        <x:v>211.46192269294798</x:v>
      </x:c>
      <x:c r="L432" s="563" t="n">
        <x:f>MAX(J432-K432,0)</x:f>
        <x:v>317.192884039422</x:v>
      </x:c>
      <x:c r="M432" s="185" t="n">
        <x:f>MAX('詳細設定'!$D$6,0)*(1+'詳細設定'!$D$21)^(B432-1)</x:f>
        <x:v>40.63391343794996</x:v>
      </x:c>
      <x:c r="N432" s="185" t="n">
        <x:f>IF(B432&lt;=MAX(MIN('詳細設定'!$D$8,20),0),MAX('詳細設定'!$D$7,0),IF(B432&lt;=MAX(MIN('詳細設定'!$D$10,20),0),MAX('詳細設定'!$D$9,0),MAX('詳細設定'!$D$11,0)))</x:f>
        <x:v>8.3</x:v>
      </x:c>
      <x:c r="O432" s="190" t="n">
        <x:f>K432*M432</x:f>
        <x:v>8592.525462127714</x:v>
      </x:c>
      <x:c r="P432" s="190" t="n">
        <x:f>L432*N432</x:f>
        <x:v>2632.7009375272028</x:v>
      </x:c>
      <x:c r="Q432" s="190" t="n">
        <x:f>O432+P432</x:f>
        <x:v>11225.226399654917</x:v>
      </x:c>
      <x:c r="R432" s="196" t="n">
        <x:f>J432-K432-L432</x:f>
        <x:v>0</x:v>
      </x:c>
    </x:row>
    <x:row r="433">
      <x:c r="A433" s="20" t="str">
        <x:v>標準</x:v>
      </x:c>
      <x:c r="B433" s="20" t="n">
        <x:v>16</x:v>
      </x:c>
      <x:c r="C433" s="20" t="n">
        <x:v>9</x:v>
      </x:c>
      <x:c r="D433" s="189" t="n">
        <x:v>1</x:v>
      </x:c>
      <x:c r="E433" s="189" t="n">
        <x:v>1</x:v>
      </x:c>
      <x:c r="F433" s="189" t="n">
        <x:f>MAX(MIN('詳細設定'!$D$15+0,1),0)</x:f>
        <x:v>0.4</x:v>
      </x:c>
      <x:c r="G433" s="563" t="n">
        <x:f>'_計算月次'!$J$13</x:f>
        <x:v>436.37734765103465</x:v>
      </x:c>
      <x:c r="H433" s="563" t="n">
        <x:f>'_計算月次'!$K$13</x:f>
        <x:v>360</x:v>
      </x:c>
      <x:c r="I433" s="563" t="n">
        <x:f>(1-MAX(MIN('詳細設定'!$D$16,0.999999),0))^(B433-1)</x:f>
        <x:v>1</x:v>
      </x:c>
      <x:c r="J433" s="563" t="n">
        <x:f>MAX(G433*D433*I433,0)</x:f>
        <x:v>436.37734765103465</x:v>
      </x:c>
      <x:c r="K433" s="563" t="n">
        <x:f>MAX(MIN(J433*F433,H433),0)</x:f>
        <x:v>174.55093906041387</x:v>
      </x:c>
      <x:c r="L433" s="563" t="n">
        <x:f>MAX(J433-K433,0)</x:f>
        <x:v>261.82640859062076</x:v>
      </x:c>
      <x:c r="M433" s="185" t="n">
        <x:f>MAX('詳細設定'!$D$6,0)*(1+'詳細設定'!$D$21)^(B433-1)</x:f>
        <x:v>40.63391343794996</x:v>
      </x:c>
      <x:c r="N433" s="185" t="n">
        <x:f>IF(B433&lt;=MAX(MIN('詳細設定'!$D$8,20),0),MAX('詳細設定'!$D$7,0),IF(B433&lt;=MAX(MIN('詳細設定'!$D$10,20),0),MAX('詳細設定'!$D$9,0),MAX('詳細設定'!$D$11,0)))</x:f>
        <x:v>8.3</x:v>
      </x:c>
      <x:c r="O433" s="190" t="n">
        <x:f>K433*M433</x:f>
        <x:v>7092.687748293735</x:v>
      </x:c>
      <x:c r="P433" s="190" t="n">
        <x:f>L433*N433</x:f>
        <x:v>2173.1591913021525</x:v>
      </x:c>
      <x:c r="Q433" s="190" t="n">
        <x:f>O433+P433</x:f>
        <x:v>9265.846939595887</x:v>
      </x:c>
      <x:c r="R433" s="196" t="n">
        <x:f>J433-K433-L433</x:f>
        <x:v>0</x:v>
      </x:c>
    </x:row>
    <x:row r="434">
      <x:c r="A434" s="20" t="str">
        <x:v>標準</x:v>
      </x:c>
      <x:c r="B434" s="20" t="n">
        <x:v>16</x:v>
      </x:c>
      <x:c r="C434" s="20" t="n">
        <x:v>10</x:v>
      </x:c>
      <x:c r="D434" s="189" t="n">
        <x:v>1</x:v>
      </x:c>
      <x:c r="E434" s="189" t="n">
        <x:v>1</x:v>
      </x:c>
      <x:c r="F434" s="189" t="n">
        <x:f>MAX(MIN('詳細設定'!$D$15+0,1),0)</x:f>
        <x:v>0.4</x:v>
      </x:c>
      <x:c r="G434" s="563" t="n">
        <x:f>'_計算月次'!$J$14</x:f>
        <x:v>408.8269849869007</x:v>
      </x:c>
      <x:c r="H434" s="563" t="n">
        <x:f>'_計算月次'!$K$14</x:f>
        <x:v>315.00000000000006</x:v>
      </x:c>
      <x:c r="I434" s="563" t="n">
        <x:f>(1-MAX(MIN('詳細設定'!$D$16,0.999999),0))^(B434-1)</x:f>
        <x:v>1</x:v>
      </x:c>
      <x:c r="J434" s="563" t="n">
        <x:f>MAX(G434*D434*I434,0)</x:f>
        <x:v>408.8269849869007</x:v>
      </x:c>
      <x:c r="K434" s="563" t="n">
        <x:f>MAX(MIN(J434*F434,H434),0)</x:f>
        <x:v>163.5307939947603</x:v>
      </x:c>
      <x:c r="L434" s="563" t="n">
        <x:f>MAX(J434-K434,0)</x:f>
        <x:v>245.2961909921404</x:v>
      </x:c>
      <x:c r="M434" s="185" t="n">
        <x:f>MAX('詳細設定'!$D$6,0)*(1+'詳細設定'!$D$21)^(B434-1)</x:f>
        <x:v>40.63391343794996</x:v>
      </x:c>
      <x:c r="N434" s="185" t="n">
        <x:f>IF(B434&lt;=MAX(MIN('詳細設定'!$D$8,20),0),MAX('詳細設定'!$D$7,0),IF(B434&lt;=MAX(MIN('詳細設定'!$D$10,20),0),MAX('詳細設定'!$D$9,0),MAX('詳細設定'!$D$11,0)))</x:f>
        <x:v>8.3</x:v>
      </x:c>
      <x:c r="O434" s="190" t="n">
        <x:f>K434*M434</x:f>
        <x:v>6644.896127622317</x:v>
      </x:c>
      <x:c r="P434" s="190" t="n">
        <x:f>L434*N434</x:f>
        <x:v>2035.9583852347655</x:v>
      </x:c>
      <x:c r="Q434" s="190" t="n">
        <x:f>O434+P434</x:f>
        <x:v>8680.854512857082</x:v>
      </x:c>
      <x:c r="R434" s="196" t="n">
        <x:f>J434-K434-L434</x:f>
        <x:v>0</x:v>
      </x:c>
    </x:row>
    <x:row r="435">
      <x:c r="A435" s="20" t="str">
        <x:v>標準</x:v>
      </x:c>
      <x:c r="B435" s="20" t="n">
        <x:v>16</x:v>
      </x:c>
      <x:c r="C435" s="20" t="n">
        <x:v>11</x:v>
      </x:c>
      <x:c r="D435" s="189" t="n">
        <x:v>1</x:v>
      </x:c>
      <x:c r="E435" s="189" t="n">
        <x:v>1</x:v>
      </x:c>
      <x:c r="F435" s="189" t="n">
        <x:f>MAX(MIN('詳細設定'!$D$15+0,1),0)</x:f>
        <x:v>0.4</x:v>
      </x:c>
      <x:c r="G435" s="563" t="n">
        <x:f>'_計算月次'!$J$15</x:f>
        <x:v>398.45169764745054</x:v>
      </x:c>
      <x:c r="H435" s="563" t="n">
        <x:f>'_計算月次'!$K$15</x:f>
        <x:v>360</x:v>
      </x:c>
      <x:c r="I435" s="563" t="n">
        <x:f>(1-MAX(MIN('詳細設定'!$D$16,0.999999),0))^(B435-1)</x:f>
        <x:v>1</x:v>
      </x:c>
      <x:c r="J435" s="563" t="n">
        <x:f>MAX(G435*D435*I435,0)</x:f>
        <x:v>398.45169764745054</x:v>
      </x:c>
      <x:c r="K435" s="563" t="n">
        <x:f>MAX(MIN(J435*F435,H435),0)</x:f>
        <x:v>159.38067905898023</x:v>
      </x:c>
      <x:c r="L435" s="563" t="n">
        <x:f>MAX(J435-K435,0)</x:f>
        <x:v>239.0710185884703</x:v>
      </x:c>
      <x:c r="M435" s="185" t="n">
        <x:f>MAX('詳細設定'!$D$6,0)*(1+'詳細設定'!$D$21)^(B435-1)</x:f>
        <x:v>40.63391343794996</x:v>
      </x:c>
      <x:c r="N435" s="185" t="n">
        <x:f>IF(B435&lt;=MAX(MIN('詳細設定'!$D$8,20),0),MAX('詳細設定'!$D$7,0),IF(B435&lt;=MAX(MIN('詳細設定'!$D$10,20),0),MAX('詳細設定'!$D$9,0),MAX('詳細設定'!$D$11,0)))</x:f>
        <x:v>8.3</x:v>
      </x:c>
      <x:c r="O435" s="190" t="n">
        <x:f>K435*M435</x:f>
        <x:v>6476.260716564287</x:v>
      </x:c>
      <x:c r="P435" s="190" t="n">
        <x:f>L435*N435</x:f>
        <x:v>1984.2894542843037</x:v>
      </x:c>
      <x:c r="Q435" s="190" t="n">
        <x:f>O435+P435</x:f>
        <x:v>8460.55017084859</x:v>
      </x:c>
      <x:c r="R435" s="196" t="n">
        <x:f>J435-K435-L435</x:f>
        <x:v>0</x:v>
      </x:c>
    </x:row>
    <x:row r="436">
      <x:c r="A436" s="20" t="str">
        <x:v>標準</x:v>
      </x:c>
      <x:c r="B436" s="20" t="n">
        <x:v>16</x:v>
      </x:c>
      <x:c r="C436" s="20" t="n">
        <x:v>12</x:v>
      </x:c>
      <x:c r="D436" s="189" t="n">
        <x:v>1</x:v>
      </x:c>
      <x:c r="E436" s="189" t="n">
        <x:v>1</x:v>
      </x:c>
      <x:c r="F436" s="189" t="n">
        <x:f>MAX(MIN('詳細設定'!$D$15+0,1),0)</x:f>
        <x:v>0.4</x:v>
      </x:c>
      <x:c r="G436" s="563" t="n">
        <x:f>'_計算月次'!$J$16</x:f>
        <x:v>443.97248688000184</x:v>
      </x:c>
      <x:c r="H436" s="563" t="n">
        <x:f>'_計算月次'!$K$16</x:f>
        <x:v>405</x:v>
      </x:c>
      <x:c r="I436" s="563" t="n">
        <x:f>(1-MAX(MIN('詳細設定'!$D$16,0.999999),0))^(B436-1)</x:f>
        <x:v>1</x:v>
      </x:c>
      <x:c r="J436" s="563" t="n">
        <x:f>MAX(G436*D436*I436,0)</x:f>
        <x:v>443.97248688000184</x:v>
      </x:c>
      <x:c r="K436" s="563" t="n">
        <x:f>MAX(MIN(J436*F436,H436),0)</x:f>
        <x:v>177.58899475200076</x:v>
      </x:c>
      <x:c r="L436" s="563" t="n">
        <x:f>MAX(J436-K436,0)</x:f>
        <x:v>266.3834921280011</x:v>
      </x:c>
      <x:c r="M436" s="185" t="n">
        <x:f>MAX('詳細設定'!$D$6,0)*(1+'詳細設定'!$D$21)^(B436-1)</x:f>
        <x:v>40.63391343794996</x:v>
      </x:c>
      <x:c r="N436" s="185" t="n">
        <x:f>IF(B436&lt;=MAX(MIN('詳細設定'!$D$8,20),0),MAX('詳細設定'!$D$7,0),IF(B436&lt;=MAX(MIN('詳細設定'!$D$10,20),0),MAX('詳細設定'!$D$9,0),MAX('詳細設定'!$D$11,0)))</x:f>
        <x:v>8.3</x:v>
      </x:c>
      <x:c r="O436" s="190" t="n">
        <x:f>K436*M436</x:f>
        <x:v>7216.135840285348</x:v>
      </x:c>
      <x:c r="P436" s="190" t="n">
        <x:f>L436*N436</x:f>
        <x:v>2210.9829846624093</x:v>
      </x:c>
      <x:c r="Q436" s="190" t="n">
        <x:f>O436+P436</x:f>
        <x:v>9427.118824947758</x:v>
      </x:c>
      <x:c r="R436" s="196" t="n">
        <x:f>J436-K436-L436</x:f>
        <x:v>0</x:v>
      </x:c>
    </x:row>
    <x:row r="437">
      <x:c r="A437" s="20" t="str">
        <x:v>標準</x:v>
      </x:c>
      <x:c r="B437" s="20" t="n">
        <x:v>17</x:v>
      </x:c>
      <x:c r="C437" s="20" t="n">
        <x:v>1</x:v>
      </x:c>
      <x:c r="D437" s="189" t="n">
        <x:v>1</x:v>
      </x:c>
      <x:c r="E437" s="189" t="n">
        <x:v>1</x:v>
      </x:c>
      <x:c r="F437" s="189" t="n">
        <x:f>MAX(MIN('詳細設定'!$D$15+0,1),0)</x:f>
        <x:v>0.4</x:v>
      </x:c>
      <x:c r="G437" s="563" t="n">
        <x:f>'_計算月次'!$J$5</x:f>
        <x:v>502.4147595742038</x:v>
      </x:c>
      <x:c r="H437" s="563" t="n">
        <x:f>'_計算月次'!$K$5</x:f>
        <x:v>450</x:v>
      </x:c>
      <x:c r="I437" s="563" t="n">
        <x:f>(1-MAX(MIN('詳細設定'!$D$16,0.999999),0))^(B437-1)</x:f>
        <x:v>1</x:v>
      </x:c>
      <x:c r="J437" s="563" t="n">
        <x:f>MAX(G437*D437*I437,0)</x:f>
        <x:v>502.4147595742038</x:v>
      </x:c>
      <x:c r="K437" s="563" t="n">
        <x:f>MAX(MIN(J437*F437,H437),0)</x:f>
        <x:v>200.96590382968154</x:v>
      </x:c>
      <x:c r="L437" s="563" t="n">
        <x:f>MAX(J437-K437,0)</x:f>
        <x:v>301.44885574452223</x:v>
      </x:c>
      <x:c r="M437" s="185" t="n">
        <x:f>MAX('詳細設定'!$D$6,0)*(1+'詳細設定'!$D$21)^(B437-1)</x:f>
        <x:v>41.04025257232946</x:v>
      </x:c>
      <x:c r="N437" s="185" t="n">
        <x:f>IF(B437&lt;=MAX(MIN('詳細設定'!$D$8,20),0),MAX('詳細設定'!$D$7,0),IF(B437&lt;=MAX(MIN('詳細設定'!$D$10,20),0),MAX('詳細設定'!$D$9,0),MAX('詳細設定'!$D$11,0)))</x:f>
        <x:v>8.3</x:v>
      </x:c>
      <x:c r="O437" s="190" t="n">
        <x:f>K437*M437</x:f>
        <x:v>8247.691451596602</x:v>
      </x:c>
      <x:c r="P437" s="190" t="n">
        <x:f>L437*N437</x:f>
        <x:v>2502.025502679535</x:v>
      </x:c>
      <x:c r="Q437" s="190" t="n">
        <x:f>O437+P437</x:f>
        <x:v>10749.716954276137</x:v>
      </x:c>
      <x:c r="R437" s="196" t="n">
        <x:f>J437-K437-L437</x:f>
        <x:v>0</x:v>
      </x:c>
    </x:row>
    <x:row r="438">
      <x:c r="A438" s="20" t="str">
        <x:v>標準</x:v>
      </x:c>
      <x:c r="B438" s="20" t="n">
        <x:v>17</x:v>
      </x:c>
      <x:c r="C438" s="20" t="n">
        <x:v>2</x:v>
      </x:c>
      <x:c r="D438" s="189" t="n">
        <x:v>1</x:v>
      </x:c>
      <x:c r="E438" s="189" t="n">
        <x:v>1</x:v>
      </x:c>
      <x:c r="F438" s="189" t="n">
        <x:f>MAX(MIN('詳細設定'!$D$15+0,1),0)</x:f>
        <x:v>0.4</x:v>
      </x:c>
      <x:c r="G438" s="563" t="n">
        <x:f>'_計算月次'!$J$6</x:f>
        <x:v>472.4508339500229</x:v>
      </x:c>
      <x:c r="H438" s="563" t="n">
        <x:f>'_計算月次'!$K$6</x:f>
        <x:v>405</x:v>
      </x:c>
      <x:c r="I438" s="563" t="n">
        <x:f>(1-MAX(MIN('詳細設定'!$D$16,0.999999),0))^(B438-1)</x:f>
        <x:v>1</x:v>
      </x:c>
      <x:c r="J438" s="563" t="n">
        <x:f>MAX(G438*D438*I438,0)</x:f>
        <x:v>472.4508339500229</x:v>
      </x:c>
      <x:c r="K438" s="563" t="n">
        <x:f>MAX(MIN(J438*F438,H438),0)</x:f>
        <x:v>188.9803335800092</x:v>
      </x:c>
      <x:c r="L438" s="563" t="n">
        <x:f>MAX(J438-K438,0)</x:f>
        <x:v>283.4705003700137</x:v>
      </x:c>
      <x:c r="M438" s="185" t="n">
        <x:f>MAX('詳細設定'!$D$6,0)*(1+'詳細設定'!$D$21)^(B438-1)</x:f>
        <x:v>41.04025257232946</x:v>
      </x:c>
      <x:c r="N438" s="185" t="n">
        <x:f>IF(B438&lt;=MAX(MIN('詳細設定'!$D$8,20),0),MAX('詳細設定'!$D$7,0),IF(B438&lt;=MAX(MIN('詳細設定'!$D$10,20),0),MAX('詳細設定'!$D$9,0),MAX('詳細設定'!$D$11,0)))</x:f>
        <x:v>8.3</x:v>
      </x:c>
      <x:c r="O438" s="190" t="n">
        <x:f>K438*M438</x:f>
        <x:v>7755.800621326651</x:v>
      </x:c>
      <x:c r="P438" s="190" t="n">
        <x:f>L438*N438</x:f>
        <x:v>2352.805153071114</x:v>
      </x:c>
      <x:c r="Q438" s="190" t="n">
        <x:f>O438+P438</x:f>
        <x:v>10108.605774397765</x:v>
      </x:c>
      <x:c r="R438" s="196" t="n">
        <x:f>J438-K438-L438</x:f>
        <x:v>0</x:v>
      </x:c>
    </x:row>
    <x:row r="439">
      <x:c r="A439" s="20" t="str">
        <x:v>標準</x:v>
      </x:c>
      <x:c r="B439" s="20" t="n">
        <x:v>17</x:v>
      </x:c>
      <x:c r="C439" s="20" t="n">
        <x:v>3</x:v>
      </x:c>
      <x:c r="D439" s="189" t="n">
        <x:v>1</x:v>
      </x:c>
      <x:c r="E439" s="189" t="n">
        <x:v>1</x:v>
      </x:c>
      <x:c r="F439" s="189" t="n">
        <x:f>MAX(MIN('詳細設定'!$D$15+0,1),0)</x:f>
        <x:v>0.4</x:v>
      </x:c>
      <x:c r="G439" s="563" t="n">
        <x:f>'_計算月次'!$J$7</x:f>
        <x:v>548.3418864753118</x:v>
      </x:c>
      <x:c r="H439" s="563" t="n">
        <x:f>'_計算月次'!$K$7</x:f>
        <x:v>360</x:v>
      </x:c>
      <x:c r="I439" s="563" t="n">
        <x:f>(1-MAX(MIN('詳細設定'!$D$16,0.999999),0))^(B439-1)</x:f>
        <x:v>1</x:v>
      </x:c>
      <x:c r="J439" s="563" t="n">
        <x:f>MAX(G439*D439*I439,0)</x:f>
        <x:v>548.3418864753118</x:v>
      </x:c>
      <x:c r="K439" s="563" t="n">
        <x:f>MAX(MIN(J439*F439,H439),0)</x:f>
        <x:v>219.3367545901247</x:v>
      </x:c>
      <x:c r="L439" s="563" t="n">
        <x:f>MAX(J439-K439,0)</x:f>
        <x:v>329.00513188518704</x:v>
      </x:c>
      <x:c r="M439" s="185" t="n">
        <x:f>MAX('詳細設定'!$D$6,0)*(1+'詳細設定'!$D$21)^(B439-1)</x:f>
        <x:v>41.04025257232946</x:v>
      </x:c>
      <x:c r="N439" s="185" t="n">
        <x:f>IF(B439&lt;=MAX(MIN('詳細設定'!$D$8,20),0),MAX('詳細設定'!$D$7,0),IF(B439&lt;=MAX(MIN('詳細設定'!$D$10,20),0),MAX('詳細設定'!$D$9,0),MAX('詳細設定'!$D$11,0)))</x:f>
        <x:v>8.3</x:v>
      </x:c>
      <x:c r="O439" s="190" t="n">
        <x:f>K439*M439</x:f>
        <x:v>9001.63580677376</x:v>
      </x:c>
      <x:c r="P439" s="190" t="n">
        <x:f>L439*N439</x:f>
        <x:v>2730.7425946470526</x:v>
      </x:c>
      <x:c r="Q439" s="190" t="n">
        <x:f>O439+P439</x:f>
        <x:v>11732.378401420812</x:v>
      </x:c>
      <x:c r="R439" s="196" t="n">
        <x:f>J439-K439-L439</x:f>
        <x:v>0</x:v>
      </x:c>
    </x:row>
    <x:row r="440">
      <x:c r="A440" s="20" t="str">
        <x:v>標準</x:v>
      </x:c>
      <x:c r="B440" s="20" t="n">
        <x:v>17</x:v>
      </x:c>
      <x:c r="C440" s="20" t="n">
        <x:v>4</x:v>
      </x:c>
      <x:c r="D440" s="189" t="n">
        <x:v>1</x:v>
      </x:c>
      <x:c r="E440" s="189" t="n">
        <x:v>1</x:v>
      </x:c>
      <x:c r="F440" s="189" t="n">
        <x:f>MAX(MIN('詳細設定'!$D$15+0,1),0)</x:f>
        <x:v>0.4</x:v>
      </x:c>
      <x:c r="G440" s="563" t="n">
        <x:f>'_計算月次'!$J$8</x:f>
        <x:v>548.3944393749554</x:v>
      </x:c>
      <x:c r="H440" s="563" t="n">
        <x:f>'_計算月次'!$K$8</x:f>
        <x:v>315.00000000000006</x:v>
      </x:c>
      <x:c r="I440" s="563" t="n">
        <x:f>(1-MAX(MIN('詳細設定'!$D$16,0.999999),0))^(B440-1)</x:f>
        <x:v>1</x:v>
      </x:c>
      <x:c r="J440" s="563" t="n">
        <x:f>MAX(G440*D440*I440,0)</x:f>
        <x:v>548.3944393749554</x:v>
      </x:c>
      <x:c r="K440" s="563" t="n">
        <x:f>MAX(MIN(J440*F440,H440),0)</x:f>
        <x:v>219.35777574998215</x:v>
      </x:c>
      <x:c r="L440" s="563" t="n">
        <x:f>MAX(J440-K440,0)</x:f>
        <x:v>329.03666362497324</x:v>
      </x:c>
      <x:c r="M440" s="185" t="n">
        <x:f>MAX('詳細設定'!$D$6,0)*(1+'詳細設定'!$D$21)^(B440-1)</x:f>
        <x:v>41.04025257232946</x:v>
      </x:c>
      <x:c r="N440" s="185" t="n">
        <x:f>IF(B440&lt;=MAX(MIN('詳細設定'!$D$8,20),0),MAX('詳細設定'!$D$7,0),IF(B440&lt;=MAX(MIN('詳細設定'!$D$10,20),0),MAX('詳細設定'!$D$9,0),MAX('詳細設定'!$D$11,0)))</x:f>
        <x:v>8.3</x:v>
      </x:c>
      <x:c r="O440" s="190" t="n">
        <x:f>K440*M440</x:f>
        <x:v>9002.498520483674</x:v>
      </x:c>
      <x:c r="P440" s="190" t="n">
        <x:f>L440*N440</x:f>
        <x:v>2731.0043080872783</x:v>
      </x:c>
      <x:c r="Q440" s="190" t="n">
        <x:f>O440+P440</x:f>
        <x:v>11733.502828570952</x:v>
      </x:c>
      <x:c r="R440" s="196" t="n">
        <x:f>J440-K440-L440</x:f>
        <x:v>0</x:v>
      </x:c>
    </x:row>
    <x:row r="441">
      <x:c r="A441" s="20" t="str">
        <x:v>標準</x:v>
      </x:c>
      <x:c r="B441" s="20" t="n">
        <x:v>17</x:v>
      </x:c>
      <x:c r="C441" s="20" t="n">
        <x:v>5</x:v>
      </x:c>
      <x:c r="D441" s="189" t="n">
        <x:v>1</x:v>
      </x:c>
      <x:c r="E441" s="189" t="n">
        <x:v>1</x:v>
      </x:c>
      <x:c r="F441" s="189" t="n">
        <x:f>MAX(MIN('詳細設定'!$D$15+0,1),0)</x:f>
        <x:v>0.4</x:v>
      </x:c>
      <x:c r="G441" s="563" t="n">
        <x:f>'_計算月次'!$J$9</x:f>
        <x:v>552.2367574934775</x:v>
      </x:c>
      <x:c r="H441" s="563" t="n">
        <x:f>'_計算月次'!$K$9</x:f>
        <x:v>315.00000000000006</x:v>
      </x:c>
      <x:c r="I441" s="563" t="n">
        <x:f>(1-MAX(MIN('詳細設定'!$D$16,0.999999),0))^(B441-1)</x:f>
        <x:v>1</x:v>
      </x:c>
      <x:c r="J441" s="563" t="n">
        <x:f>MAX(G441*D441*I441,0)</x:f>
        <x:v>552.2367574934775</x:v>
      </x:c>
      <x:c r="K441" s="563" t="n">
        <x:f>MAX(MIN(J441*F441,H441),0)</x:f>
        <x:v>220.89470299739102</x:v>
      </x:c>
      <x:c r="L441" s="563" t="n">
        <x:f>MAX(J441-K441,0)</x:f>
        <x:v>331.34205449608646</x:v>
      </x:c>
      <x:c r="M441" s="185" t="n">
        <x:f>MAX('詳細設定'!$D$6,0)*(1+'詳細設定'!$D$21)^(B441-1)</x:f>
        <x:v>41.04025257232946</x:v>
      </x:c>
      <x:c r="N441" s="185" t="n">
        <x:f>IF(B441&lt;=MAX(MIN('詳細設定'!$D$8,20),0),MAX('詳細設定'!$D$7,0),IF(B441&lt;=MAX(MIN('詳細設定'!$D$10,20),0),MAX('詳細設定'!$D$9,0),MAX('詳細設定'!$D$11,0)))</x:f>
        <x:v>8.3</x:v>
      </x:c>
      <x:c r="O441" s="190" t="n">
        <x:f>K441*M441</x:f>
        <x:v>9065.574402902628</x:v>
      </x:c>
      <x:c r="P441" s="190" t="n">
        <x:f>L441*N441</x:f>
        <x:v>2750.139052317518</x:v>
      </x:c>
      <x:c r="Q441" s="190" t="n">
        <x:f>O441+P441</x:f>
        <x:v>11815.713455220146</x:v>
      </x:c>
      <x:c r="R441" s="196" t="n">
        <x:f>J441-K441-L441</x:f>
        <x:v>0</x:v>
      </x:c>
    </x:row>
    <x:row r="442">
      <x:c r="A442" s="20" t="str">
        <x:v>標準</x:v>
      </x:c>
      <x:c r="B442" s="20" t="n">
        <x:v>17</x:v>
      </x:c>
      <x:c r="C442" s="20" t="n">
        <x:v>6</x:v>
      </x:c>
      <x:c r="D442" s="189" t="n">
        <x:v>1</x:v>
      </x:c>
      <x:c r="E442" s="189" t="n">
        <x:v>1</x:v>
      </x:c>
      <x:c r="F442" s="189" t="n">
        <x:f>MAX(MIN('詳細設定'!$D$15+0,1),0)</x:f>
        <x:v>0.4</x:v>
      </x:c>
      <x:c r="G442" s="563" t="n">
        <x:f>'_計算月次'!$J$10</x:f>
        <x:v>448.7994857612148</x:v>
      </x:c>
      <x:c r="H442" s="563" t="n">
        <x:f>'_計算月次'!$K$10</x:f>
        <x:v>360</x:v>
      </x:c>
      <x:c r="I442" s="563" t="n">
        <x:f>(1-MAX(MIN('詳細設定'!$D$16,0.999999),0))^(B442-1)</x:f>
        <x:v>1</x:v>
      </x:c>
      <x:c r="J442" s="563" t="n">
        <x:f>MAX(G442*D442*I442,0)</x:f>
        <x:v>448.7994857612148</x:v>
      </x:c>
      <x:c r="K442" s="563" t="n">
        <x:f>MAX(MIN(J442*F442,H442),0)</x:f>
        <x:v>179.5197943044859</x:v>
      </x:c>
      <x:c r="L442" s="563" t="n">
        <x:f>MAX(J442-K442,0)</x:f>
        <x:v>269.27969145672887</x:v>
      </x:c>
      <x:c r="M442" s="185" t="n">
        <x:f>MAX('詳細設定'!$D$6,0)*(1+'詳細設定'!$D$21)^(B442-1)</x:f>
        <x:v>41.04025257232946</x:v>
      </x:c>
      <x:c r="N442" s="185" t="n">
        <x:f>IF(B442&lt;=MAX(MIN('詳細設定'!$D$8,20),0),MAX('詳細設定'!$D$7,0),IF(B442&lt;=MAX(MIN('詳細設定'!$D$10,20),0),MAX('詳細設定'!$D$9,0),MAX('詳細設定'!$D$11,0)))</x:f>
        <x:v>8.3</x:v>
      </x:c>
      <x:c r="O442" s="190" t="n">
        <x:f>K442*M442</x:f>
        <x:v>7367.537699988733</x:v>
      </x:c>
      <x:c r="P442" s="190" t="n">
        <x:f>L442*N442</x:f>
        <x:v>2235.02143909085</x:v>
      </x:c>
      <x:c r="Q442" s="190" t="n">
        <x:f>O442+P442</x:f>
        <x:v>9602.559139079583</x:v>
      </x:c>
      <x:c r="R442" s="196" t="n">
        <x:f>J442-K442-L442</x:f>
        <x:v>0</x:v>
      </x:c>
    </x:row>
    <x:row r="443">
      <x:c r="A443" s="20" t="str">
        <x:v>標準</x:v>
      </x:c>
      <x:c r="B443" s="20" t="n">
        <x:v>17</x:v>
      </x:c>
      <x:c r="C443" s="20" t="n">
        <x:v>7</x:v>
      </x:c>
      <x:c r="D443" s="189" t="n">
        <x:v>1</x:v>
      </x:c>
      <x:c r="E443" s="189" t="n">
        <x:v>1</x:v>
      </x:c>
      <x:c r="F443" s="189" t="n">
        <x:f>MAX(MIN('詳細設定'!$D$15+0,1),0)</x:f>
        <x:v>0.4</x:v>
      </x:c>
      <x:c r="G443" s="563" t="n">
        <x:f>'_計算月次'!$J$11</x:f>
        <x:v>476.0181638067866</x:v>
      </x:c>
      <x:c r="H443" s="563" t="n">
        <x:f>'_計算月次'!$K$11</x:f>
        <x:v>405</x:v>
      </x:c>
      <x:c r="I443" s="563" t="n">
        <x:f>(1-MAX(MIN('詳細設定'!$D$16,0.999999),0))^(B443-1)</x:f>
        <x:v>1</x:v>
      </x:c>
      <x:c r="J443" s="563" t="n">
        <x:f>MAX(G443*D443*I443,0)</x:f>
        <x:v>476.0181638067866</x:v>
      </x:c>
      <x:c r="K443" s="563" t="n">
        <x:f>MAX(MIN(J443*F443,H443),0)</x:f>
        <x:v>190.40726552271465</x:v>
      </x:c>
      <x:c r="L443" s="563" t="n">
        <x:f>MAX(J443-K443,0)</x:f>
        <x:v>285.61089828407194</x:v>
      </x:c>
      <x:c r="M443" s="185" t="n">
        <x:f>MAX('詳細設定'!$D$6,0)*(1+'詳細設定'!$D$21)^(B443-1)</x:f>
        <x:v>41.04025257232946</x:v>
      </x:c>
      <x:c r="N443" s="185" t="n">
        <x:f>IF(B443&lt;=MAX(MIN('詳細設定'!$D$8,20),0),MAX('詳細設定'!$D$7,0),IF(B443&lt;=MAX(MIN('詳細設定'!$D$10,20),0),MAX('詳細設定'!$D$9,0),MAX('詳細設定'!$D$11,0)))</x:f>
        <x:v>8.3</x:v>
      </x:c>
      <x:c r="O443" s="190" t="n">
        <x:f>K443*M443</x:f>
        <x:v>7814.362268658808</x:v>
      </x:c>
      <x:c r="P443" s="190" t="n">
        <x:f>L443*N443</x:f>
        <x:v>2370.5704557577974</x:v>
      </x:c>
      <x:c r="Q443" s="190" t="n">
        <x:f>O443+P443</x:f>
        <x:v>10184.932724416605</x:v>
      </x:c>
      <x:c r="R443" s="196" t="n">
        <x:f>J443-K443-L443</x:f>
        <x:v>0</x:v>
      </x:c>
    </x:row>
    <x:row r="444">
      <x:c r="A444" s="20" t="str">
        <x:v>標準</x:v>
      </x:c>
      <x:c r="B444" s="20" t="n">
        <x:v>17</x:v>
      </x:c>
      <x:c r="C444" s="20" t="n">
        <x:v>8</x:v>
      </x:c>
      <x:c r="D444" s="189" t="n">
        <x:v>1</x:v>
      </x:c>
      <x:c r="E444" s="189" t="n">
        <x:v>1</x:v>
      </x:c>
      <x:c r="F444" s="189" t="n">
        <x:f>MAX(MIN('詳細設定'!$D$15+0,1),0)</x:f>
        <x:v>0.4</x:v>
      </x:c>
      <x:c r="G444" s="563" t="n">
        <x:f>'_計算月次'!$J$12</x:f>
        <x:v>528.6548067323699</x:v>
      </x:c>
      <x:c r="H444" s="563" t="n">
        <x:f>'_計算月次'!$K$12</x:f>
        <x:v>450</x:v>
      </x:c>
      <x:c r="I444" s="563" t="n">
        <x:f>(1-MAX(MIN('詳細設定'!$D$16,0.999999),0))^(B444-1)</x:f>
        <x:v>1</x:v>
      </x:c>
      <x:c r="J444" s="563" t="n">
        <x:f>MAX(G444*D444*I444,0)</x:f>
        <x:v>528.6548067323699</x:v>
      </x:c>
      <x:c r="K444" s="563" t="n">
        <x:f>MAX(MIN(J444*F444,H444),0)</x:f>
        <x:v>211.46192269294798</x:v>
      </x:c>
      <x:c r="L444" s="563" t="n">
        <x:f>MAX(J444-K444,0)</x:f>
        <x:v>317.192884039422</x:v>
      </x:c>
      <x:c r="M444" s="185" t="n">
        <x:f>MAX('詳細設定'!$D$6,0)*(1+'詳細設定'!$D$21)^(B444-1)</x:f>
        <x:v>41.04025257232946</x:v>
      </x:c>
      <x:c r="N444" s="185" t="n">
        <x:f>IF(B444&lt;=MAX(MIN('詳細設定'!$D$8,20),0),MAX('詳細設定'!$D$7,0),IF(B444&lt;=MAX(MIN('詳細設定'!$D$10,20),0),MAX('詳細設定'!$D$9,0),MAX('詳細設定'!$D$11,0)))</x:f>
        <x:v>8.3</x:v>
      </x:c>
      <x:c r="O444" s="190" t="n">
        <x:f>K444*M444</x:f>
        <x:v>8678.450716748992</x:v>
      </x:c>
      <x:c r="P444" s="190" t="n">
        <x:f>L444*N444</x:f>
        <x:v>2632.7009375272028</x:v>
      </x:c>
      <x:c r="Q444" s="190" t="n">
        <x:f>O444+P444</x:f>
        <x:v>11311.151654276195</x:v>
      </x:c>
      <x:c r="R444" s="196" t="n">
        <x:f>J444-K444-L444</x:f>
        <x:v>0</x:v>
      </x:c>
    </x:row>
    <x:row r="445">
      <x:c r="A445" s="20" t="str">
        <x:v>標準</x:v>
      </x:c>
      <x:c r="B445" s="20" t="n">
        <x:v>17</x:v>
      </x:c>
      <x:c r="C445" s="20" t="n">
        <x:v>9</x:v>
      </x:c>
      <x:c r="D445" s="189" t="n">
        <x:v>1</x:v>
      </x:c>
      <x:c r="E445" s="189" t="n">
        <x:v>1</x:v>
      </x:c>
      <x:c r="F445" s="189" t="n">
        <x:f>MAX(MIN('詳細設定'!$D$15+0,1),0)</x:f>
        <x:v>0.4</x:v>
      </x:c>
      <x:c r="G445" s="563" t="n">
        <x:f>'_計算月次'!$J$13</x:f>
        <x:v>436.37734765103465</x:v>
      </x:c>
      <x:c r="H445" s="563" t="n">
        <x:f>'_計算月次'!$K$13</x:f>
        <x:v>360</x:v>
      </x:c>
      <x:c r="I445" s="563" t="n">
        <x:f>(1-MAX(MIN('詳細設定'!$D$16,0.999999),0))^(B445-1)</x:f>
        <x:v>1</x:v>
      </x:c>
      <x:c r="J445" s="563" t="n">
        <x:f>MAX(G445*D445*I445,0)</x:f>
        <x:v>436.37734765103465</x:v>
      </x:c>
      <x:c r="K445" s="563" t="n">
        <x:f>MAX(MIN(J445*F445,H445),0)</x:f>
        <x:v>174.55093906041387</x:v>
      </x:c>
      <x:c r="L445" s="563" t="n">
        <x:f>MAX(J445-K445,0)</x:f>
        <x:v>261.82640859062076</x:v>
      </x:c>
      <x:c r="M445" s="185" t="n">
        <x:f>MAX('詳細設定'!$D$6,0)*(1+'詳細設定'!$D$21)^(B445-1)</x:f>
        <x:v>41.04025257232946</x:v>
      </x:c>
      <x:c r="N445" s="185" t="n">
        <x:f>IF(B445&lt;=MAX(MIN('詳細設定'!$D$8,20),0),MAX('詳細設定'!$D$7,0),IF(B445&lt;=MAX(MIN('詳細設定'!$D$10,20),0),MAX('詳細設定'!$D$9,0),MAX('詳細設定'!$D$11,0)))</x:f>
        <x:v>8.3</x:v>
      </x:c>
      <x:c r="O445" s="190" t="n">
        <x:f>K445*M445</x:f>
        <x:v>7163.614625776672</x:v>
      </x:c>
      <x:c r="P445" s="190" t="n">
        <x:f>L445*N445</x:f>
        <x:v>2173.1591913021525</x:v>
      </x:c>
      <x:c r="Q445" s="190" t="n">
        <x:f>O445+P445</x:f>
        <x:v>9336.773817078825</x:v>
      </x:c>
      <x:c r="R445" s="196" t="n">
        <x:f>J445-K445-L445</x:f>
        <x:v>0</x:v>
      </x:c>
    </x:row>
    <x:row r="446">
      <x:c r="A446" s="20" t="str">
        <x:v>標準</x:v>
      </x:c>
      <x:c r="B446" s="20" t="n">
        <x:v>17</x:v>
      </x:c>
      <x:c r="C446" s="20" t="n">
        <x:v>10</x:v>
      </x:c>
      <x:c r="D446" s="189" t="n">
        <x:v>1</x:v>
      </x:c>
      <x:c r="E446" s="189" t="n">
        <x:v>1</x:v>
      </x:c>
      <x:c r="F446" s="189" t="n">
        <x:f>MAX(MIN('詳細設定'!$D$15+0,1),0)</x:f>
        <x:v>0.4</x:v>
      </x:c>
      <x:c r="G446" s="563" t="n">
        <x:f>'_計算月次'!$J$14</x:f>
        <x:v>408.8269849869007</x:v>
      </x:c>
      <x:c r="H446" s="563" t="n">
        <x:f>'_計算月次'!$K$14</x:f>
        <x:v>315.00000000000006</x:v>
      </x:c>
      <x:c r="I446" s="563" t="n">
        <x:f>(1-MAX(MIN('詳細設定'!$D$16,0.999999),0))^(B446-1)</x:f>
        <x:v>1</x:v>
      </x:c>
      <x:c r="J446" s="563" t="n">
        <x:f>MAX(G446*D446*I446,0)</x:f>
        <x:v>408.8269849869007</x:v>
      </x:c>
      <x:c r="K446" s="563" t="n">
        <x:f>MAX(MIN(J446*F446,H446),0)</x:f>
        <x:v>163.5307939947603</x:v>
      </x:c>
      <x:c r="L446" s="563" t="n">
        <x:f>MAX(J446-K446,0)</x:f>
        <x:v>245.2961909921404</x:v>
      </x:c>
      <x:c r="M446" s="185" t="n">
        <x:f>MAX('詳細設定'!$D$6,0)*(1+'詳細設定'!$D$21)^(B446-1)</x:f>
        <x:v>41.04025257232946</x:v>
      </x:c>
      <x:c r="N446" s="185" t="n">
        <x:f>IF(B446&lt;=MAX(MIN('詳細設定'!$D$8,20),0),MAX('詳細設定'!$D$7,0),IF(B446&lt;=MAX(MIN('詳細設定'!$D$10,20),0),MAX('詳細設定'!$D$9,0),MAX('詳細設定'!$D$11,0)))</x:f>
        <x:v>8.3</x:v>
      </x:c>
      <x:c r="O446" s="190" t="n">
        <x:f>K446*M446</x:f>
        <x:v>6711.34508889854</x:v>
      </x:c>
      <x:c r="P446" s="190" t="n">
        <x:f>L446*N446</x:f>
        <x:v>2035.9583852347655</x:v>
      </x:c>
      <x:c r="Q446" s="190" t="n">
        <x:f>O446+P446</x:f>
        <x:v>8747.303474133305</x:v>
      </x:c>
      <x:c r="R446" s="196" t="n">
        <x:f>J446-K446-L446</x:f>
        <x:v>0</x:v>
      </x:c>
    </x:row>
    <x:row r="447">
      <x:c r="A447" s="20" t="str">
        <x:v>標準</x:v>
      </x:c>
      <x:c r="B447" s="20" t="n">
        <x:v>17</x:v>
      </x:c>
      <x:c r="C447" s="20" t="n">
        <x:v>11</x:v>
      </x:c>
      <x:c r="D447" s="189" t="n">
        <x:v>1</x:v>
      </x:c>
      <x:c r="E447" s="189" t="n">
        <x:v>1</x:v>
      </x:c>
      <x:c r="F447" s="189" t="n">
        <x:f>MAX(MIN('詳細設定'!$D$15+0,1),0)</x:f>
        <x:v>0.4</x:v>
      </x:c>
      <x:c r="G447" s="563" t="n">
        <x:f>'_計算月次'!$J$15</x:f>
        <x:v>398.45169764745054</x:v>
      </x:c>
      <x:c r="H447" s="563" t="n">
        <x:f>'_計算月次'!$K$15</x:f>
        <x:v>360</x:v>
      </x:c>
      <x:c r="I447" s="563" t="n">
        <x:f>(1-MAX(MIN('詳細設定'!$D$16,0.999999),0))^(B447-1)</x:f>
        <x:v>1</x:v>
      </x:c>
      <x:c r="J447" s="563" t="n">
        <x:f>MAX(G447*D447*I447,0)</x:f>
        <x:v>398.45169764745054</x:v>
      </x:c>
      <x:c r="K447" s="563" t="n">
        <x:f>MAX(MIN(J447*F447,H447),0)</x:f>
        <x:v>159.38067905898023</x:v>
      </x:c>
      <x:c r="L447" s="563" t="n">
        <x:f>MAX(J447-K447,0)</x:f>
        <x:v>239.0710185884703</x:v>
      </x:c>
      <x:c r="M447" s="185" t="n">
        <x:f>MAX('詳細設定'!$D$6,0)*(1+'詳細設定'!$D$21)^(B447-1)</x:f>
        <x:v>41.04025257232946</x:v>
      </x:c>
      <x:c r="N447" s="185" t="n">
        <x:f>IF(B447&lt;=MAX(MIN('詳細設定'!$D$8,20),0),MAX('詳細設定'!$D$7,0),IF(B447&lt;=MAX(MIN('詳細設定'!$D$10,20),0),MAX('詳細設定'!$D$9,0),MAX('詳細設定'!$D$11,0)))</x:f>
        <x:v>8.3</x:v>
      </x:c>
      <x:c r="O447" s="190" t="n">
        <x:f>K447*M447</x:f>
        <x:v>6541.023323729929</x:v>
      </x:c>
      <x:c r="P447" s="190" t="n">
        <x:f>L447*N447</x:f>
        <x:v>1984.2894542843037</x:v>
      </x:c>
      <x:c r="Q447" s="190" t="n">
        <x:f>O447+P447</x:f>
        <x:v>8525.312778014233</x:v>
      </x:c>
      <x:c r="R447" s="196" t="n">
        <x:f>J447-K447-L447</x:f>
        <x:v>0</x:v>
      </x:c>
    </x:row>
    <x:row r="448">
      <x:c r="A448" s="20" t="str">
        <x:v>標準</x:v>
      </x:c>
      <x:c r="B448" s="20" t="n">
        <x:v>17</x:v>
      </x:c>
      <x:c r="C448" s="20" t="n">
        <x:v>12</x:v>
      </x:c>
      <x:c r="D448" s="189" t="n">
        <x:v>1</x:v>
      </x:c>
      <x:c r="E448" s="189" t="n">
        <x:v>1</x:v>
      </x:c>
      <x:c r="F448" s="189" t="n">
        <x:f>MAX(MIN('詳細設定'!$D$15+0,1),0)</x:f>
        <x:v>0.4</x:v>
      </x:c>
      <x:c r="G448" s="563" t="n">
        <x:f>'_計算月次'!$J$16</x:f>
        <x:v>443.97248688000184</x:v>
      </x:c>
      <x:c r="H448" s="563" t="n">
        <x:f>'_計算月次'!$K$16</x:f>
        <x:v>405</x:v>
      </x:c>
      <x:c r="I448" s="563" t="n">
        <x:f>(1-MAX(MIN('詳細設定'!$D$16,0.999999),0))^(B448-1)</x:f>
        <x:v>1</x:v>
      </x:c>
      <x:c r="J448" s="563" t="n">
        <x:f>MAX(G448*D448*I448,0)</x:f>
        <x:v>443.97248688000184</x:v>
      </x:c>
      <x:c r="K448" s="563" t="n">
        <x:f>MAX(MIN(J448*F448,H448),0)</x:f>
        <x:v>177.58899475200076</x:v>
      </x:c>
      <x:c r="L448" s="563" t="n">
        <x:f>MAX(J448-K448,0)</x:f>
        <x:v>266.3834921280011</x:v>
      </x:c>
      <x:c r="M448" s="185" t="n">
        <x:f>MAX('詳細設定'!$D$6,0)*(1+'詳細設定'!$D$21)^(B448-1)</x:f>
        <x:v>41.04025257232946</x:v>
      </x:c>
      <x:c r="N448" s="185" t="n">
        <x:f>IF(B448&lt;=MAX(MIN('詳細設定'!$D$8,20),0),MAX('詳細設定'!$D$7,0),IF(B448&lt;=MAX(MIN('詳細設定'!$D$10,20),0),MAX('詳細設定'!$D$9,0),MAX('詳細設定'!$D$11,0)))</x:f>
        <x:v>8.3</x:v>
      </x:c>
      <x:c r="O448" s="190" t="n">
        <x:f>K448*M448</x:f>
        <x:v>7288.297198688201</x:v>
      </x:c>
      <x:c r="P448" s="190" t="n">
        <x:f>L448*N448</x:f>
        <x:v>2210.9829846624093</x:v>
      </x:c>
      <x:c r="Q448" s="190" t="n">
        <x:f>O448+P448</x:f>
        <x:v>9499.280183350611</x:v>
      </x:c>
      <x:c r="R448" s="196" t="n">
        <x:f>J448-K448-L448</x:f>
        <x:v>0</x:v>
      </x:c>
    </x:row>
    <x:row r="449">
      <x:c r="A449" s="20" t="str">
        <x:v>標準</x:v>
      </x:c>
      <x:c r="B449" s="20" t="n">
        <x:v>18</x:v>
      </x:c>
      <x:c r="C449" s="20" t="n">
        <x:v>1</x:v>
      </x:c>
      <x:c r="D449" s="189" t="n">
        <x:v>1</x:v>
      </x:c>
      <x:c r="E449" s="189" t="n">
        <x:v>1</x:v>
      </x:c>
      <x:c r="F449" s="189" t="n">
        <x:f>MAX(MIN('詳細設定'!$D$15+0,1),0)</x:f>
        <x:v>0.4</x:v>
      </x:c>
      <x:c r="G449" s="563" t="n">
        <x:f>'_計算月次'!$J$5</x:f>
        <x:v>502.4147595742038</x:v>
      </x:c>
      <x:c r="H449" s="563" t="n">
        <x:f>'_計算月次'!$K$5</x:f>
        <x:v>450</x:v>
      </x:c>
      <x:c r="I449" s="563" t="n">
        <x:f>(1-MAX(MIN('詳細設定'!$D$16,0.999999),0))^(B449-1)</x:f>
        <x:v>1</x:v>
      </x:c>
      <x:c r="J449" s="563" t="n">
        <x:f>MAX(G449*D449*I449,0)</x:f>
        <x:v>502.4147595742038</x:v>
      </x:c>
      <x:c r="K449" s="563" t="n">
        <x:f>MAX(MIN(J449*F449,H449),0)</x:f>
        <x:v>200.96590382968154</x:v>
      </x:c>
      <x:c r="L449" s="563" t="n">
        <x:f>MAX(J449-K449,0)</x:f>
        <x:v>301.44885574452223</x:v>
      </x:c>
      <x:c r="M449" s="185" t="n">
        <x:f>MAX('詳細設定'!$D$6,0)*(1+'詳細設定'!$D$21)^(B449-1)</x:f>
        <x:v>41.45065509805275</x:v>
      </x:c>
      <x:c r="N449" s="185" t="n">
        <x:f>IF(B449&lt;=MAX(MIN('詳細設定'!$D$8,20),0),MAX('詳細設定'!$D$7,0),IF(B449&lt;=MAX(MIN('詳細設定'!$D$10,20),0),MAX('詳細設定'!$D$9,0),MAX('詳細設定'!$D$11,0)))</x:f>
        <x:v>8.3</x:v>
      </x:c>
      <x:c r="O449" s="190" t="n">
        <x:f>K449*M449</x:f>
        <x:v>8330.168366112568</x:v>
      </x:c>
      <x:c r="P449" s="190" t="n">
        <x:f>L449*N449</x:f>
        <x:v>2502.025502679535</x:v>
      </x:c>
      <x:c r="Q449" s="190" t="n">
        <x:f>O449+P449</x:f>
        <x:v>10832.193868792103</x:v>
      </x:c>
      <x:c r="R449" s="196" t="n">
        <x:f>J449-K449-L449</x:f>
        <x:v>0</x:v>
      </x:c>
    </x:row>
    <x:row r="450">
      <x:c r="A450" s="20" t="str">
        <x:v>標準</x:v>
      </x:c>
      <x:c r="B450" s="20" t="n">
        <x:v>18</x:v>
      </x:c>
      <x:c r="C450" s="20" t="n">
        <x:v>2</x:v>
      </x:c>
      <x:c r="D450" s="189" t="n">
        <x:v>1</x:v>
      </x:c>
      <x:c r="E450" s="189" t="n">
        <x:v>1</x:v>
      </x:c>
      <x:c r="F450" s="189" t="n">
        <x:f>MAX(MIN('詳細設定'!$D$15+0,1),0)</x:f>
        <x:v>0.4</x:v>
      </x:c>
      <x:c r="G450" s="563" t="n">
        <x:f>'_計算月次'!$J$6</x:f>
        <x:v>472.4508339500229</x:v>
      </x:c>
      <x:c r="H450" s="563" t="n">
        <x:f>'_計算月次'!$K$6</x:f>
        <x:v>405</x:v>
      </x:c>
      <x:c r="I450" s="563" t="n">
        <x:f>(1-MAX(MIN('詳細設定'!$D$16,0.999999),0))^(B450-1)</x:f>
        <x:v>1</x:v>
      </x:c>
      <x:c r="J450" s="563" t="n">
        <x:f>MAX(G450*D450*I450,0)</x:f>
        <x:v>472.4508339500229</x:v>
      </x:c>
      <x:c r="K450" s="563" t="n">
        <x:f>MAX(MIN(J450*F450,H450),0)</x:f>
        <x:v>188.9803335800092</x:v>
      </x:c>
      <x:c r="L450" s="563" t="n">
        <x:f>MAX(J450-K450,0)</x:f>
        <x:v>283.4705003700137</x:v>
      </x:c>
      <x:c r="M450" s="185" t="n">
        <x:f>MAX('詳細設定'!$D$6,0)*(1+'詳細設定'!$D$21)^(B450-1)</x:f>
        <x:v>41.45065509805275</x:v>
      </x:c>
      <x:c r="N450" s="185" t="n">
        <x:f>IF(B450&lt;=MAX(MIN('詳細設定'!$D$8,20),0),MAX('詳細設定'!$D$7,0),IF(B450&lt;=MAX(MIN('詳細設定'!$D$10,20),0),MAX('詳細設定'!$D$9,0),MAX('詳細設定'!$D$11,0)))</x:f>
        <x:v>8.3</x:v>
      </x:c>
      <x:c r="O450" s="190" t="n">
        <x:f>K450*M450</x:f>
        <x:v>7833.358627539917</x:v>
      </x:c>
      <x:c r="P450" s="190" t="n">
        <x:f>L450*N450</x:f>
        <x:v>2352.805153071114</x:v>
      </x:c>
      <x:c r="Q450" s="190" t="n">
        <x:f>O450+P450</x:f>
        <x:v>10186.16378061103</x:v>
      </x:c>
      <x:c r="R450" s="196" t="n">
        <x:f>J450-K450-L450</x:f>
        <x:v>0</x:v>
      </x:c>
    </x:row>
    <x:row r="451">
      <x:c r="A451" s="20" t="str">
        <x:v>標準</x:v>
      </x:c>
      <x:c r="B451" s="20" t="n">
        <x:v>18</x:v>
      </x:c>
      <x:c r="C451" s="20" t="n">
        <x:v>3</x:v>
      </x:c>
      <x:c r="D451" s="189" t="n">
        <x:v>1</x:v>
      </x:c>
      <x:c r="E451" s="189" t="n">
        <x:v>1</x:v>
      </x:c>
      <x:c r="F451" s="189" t="n">
        <x:f>MAX(MIN('詳細設定'!$D$15+0,1),0)</x:f>
        <x:v>0.4</x:v>
      </x:c>
      <x:c r="G451" s="563" t="n">
        <x:f>'_計算月次'!$J$7</x:f>
        <x:v>548.3418864753118</x:v>
      </x:c>
      <x:c r="H451" s="563" t="n">
        <x:f>'_計算月次'!$K$7</x:f>
        <x:v>360</x:v>
      </x:c>
      <x:c r="I451" s="563" t="n">
        <x:f>(1-MAX(MIN('詳細設定'!$D$16,0.999999),0))^(B451-1)</x:f>
        <x:v>1</x:v>
      </x:c>
      <x:c r="J451" s="563" t="n">
        <x:f>MAX(G451*D451*I451,0)</x:f>
        <x:v>548.3418864753118</x:v>
      </x:c>
      <x:c r="K451" s="563" t="n">
        <x:f>MAX(MIN(J451*F451,H451),0)</x:f>
        <x:v>219.3367545901247</x:v>
      </x:c>
      <x:c r="L451" s="563" t="n">
        <x:f>MAX(J451-K451,0)</x:f>
        <x:v>329.00513188518704</x:v>
      </x:c>
      <x:c r="M451" s="185" t="n">
        <x:f>MAX('詳細設定'!$D$6,0)*(1+'詳細設定'!$D$21)^(B451-1)</x:f>
        <x:v>41.45065509805275</x:v>
      </x:c>
      <x:c r="N451" s="185" t="n">
        <x:f>IF(B451&lt;=MAX(MIN('詳細設定'!$D$8,20),0),MAX('詳細設定'!$D$7,0),IF(B451&lt;=MAX(MIN('詳細設定'!$D$10,20),0),MAX('詳細設定'!$D$9,0),MAX('詳細設定'!$D$11,0)))</x:f>
        <x:v>8.3</x:v>
      </x:c>
      <x:c r="O451" s="190" t="n">
        <x:f>K451*M451</x:f>
        <x:v>9091.652164841498</x:v>
      </x:c>
      <x:c r="P451" s="190" t="n">
        <x:f>L451*N451</x:f>
        <x:v>2730.7425946470526</x:v>
      </x:c>
      <x:c r="Q451" s="190" t="n">
        <x:f>O451+P451</x:f>
        <x:v>11822.39475948855</x:v>
      </x:c>
      <x:c r="R451" s="196" t="n">
        <x:f>J451-K451-L451</x:f>
        <x:v>0</x:v>
      </x:c>
    </x:row>
    <x:row r="452">
      <x:c r="A452" s="20" t="str">
        <x:v>標準</x:v>
      </x:c>
      <x:c r="B452" s="20" t="n">
        <x:v>18</x:v>
      </x:c>
      <x:c r="C452" s="20" t="n">
        <x:v>4</x:v>
      </x:c>
      <x:c r="D452" s="189" t="n">
        <x:v>1</x:v>
      </x:c>
      <x:c r="E452" s="189" t="n">
        <x:v>1</x:v>
      </x:c>
      <x:c r="F452" s="189" t="n">
        <x:f>MAX(MIN('詳細設定'!$D$15+0,1),0)</x:f>
        <x:v>0.4</x:v>
      </x:c>
      <x:c r="G452" s="563" t="n">
        <x:f>'_計算月次'!$J$8</x:f>
        <x:v>548.3944393749554</x:v>
      </x:c>
      <x:c r="H452" s="563" t="n">
        <x:f>'_計算月次'!$K$8</x:f>
        <x:v>315.00000000000006</x:v>
      </x:c>
      <x:c r="I452" s="563" t="n">
        <x:f>(1-MAX(MIN('詳細設定'!$D$16,0.999999),0))^(B452-1)</x:f>
        <x:v>1</x:v>
      </x:c>
      <x:c r="J452" s="563" t="n">
        <x:f>MAX(G452*D452*I452,0)</x:f>
        <x:v>548.3944393749554</x:v>
      </x:c>
      <x:c r="K452" s="563" t="n">
        <x:f>MAX(MIN(J452*F452,H452),0)</x:f>
        <x:v>219.35777574998215</x:v>
      </x:c>
      <x:c r="L452" s="563" t="n">
        <x:f>MAX(J452-K452,0)</x:f>
        <x:v>329.03666362497324</x:v>
      </x:c>
      <x:c r="M452" s="185" t="n">
        <x:f>MAX('詳細設定'!$D$6,0)*(1+'詳細設定'!$D$21)^(B452-1)</x:f>
        <x:v>41.45065509805275</x:v>
      </x:c>
      <x:c r="N452" s="185" t="n">
        <x:f>IF(B452&lt;=MAX(MIN('詳細設定'!$D$8,20),0),MAX('詳細設定'!$D$7,0),IF(B452&lt;=MAX(MIN('詳細設定'!$D$10,20),0),MAX('詳細設定'!$D$9,0),MAX('詳細設定'!$D$11,0)))</x:f>
        <x:v>8.3</x:v>
      </x:c>
      <x:c r="O452" s="190" t="n">
        <x:f>K452*M452</x:f>
        <x:v>9092.52350568851</x:v>
      </x:c>
      <x:c r="P452" s="190" t="n">
        <x:f>L452*N452</x:f>
        <x:v>2731.0043080872783</x:v>
      </x:c>
      <x:c r="Q452" s="190" t="n">
        <x:f>O452+P452</x:f>
        <x:v>11823.527813775789</x:v>
      </x:c>
      <x:c r="R452" s="196" t="n">
        <x:f>J452-K452-L452</x:f>
        <x:v>0</x:v>
      </x:c>
    </x:row>
    <x:row r="453">
      <x:c r="A453" s="20" t="str">
        <x:v>標準</x:v>
      </x:c>
      <x:c r="B453" s="20" t="n">
        <x:v>18</x:v>
      </x:c>
      <x:c r="C453" s="20" t="n">
        <x:v>5</x:v>
      </x:c>
      <x:c r="D453" s="189" t="n">
        <x:v>1</x:v>
      </x:c>
      <x:c r="E453" s="189" t="n">
        <x:v>1</x:v>
      </x:c>
      <x:c r="F453" s="189" t="n">
        <x:f>MAX(MIN('詳細設定'!$D$15+0,1),0)</x:f>
        <x:v>0.4</x:v>
      </x:c>
      <x:c r="G453" s="563" t="n">
        <x:f>'_計算月次'!$J$9</x:f>
        <x:v>552.2367574934775</x:v>
      </x:c>
      <x:c r="H453" s="563" t="n">
        <x:f>'_計算月次'!$K$9</x:f>
        <x:v>315.00000000000006</x:v>
      </x:c>
      <x:c r="I453" s="563" t="n">
        <x:f>(1-MAX(MIN('詳細設定'!$D$16,0.999999),0))^(B453-1)</x:f>
        <x:v>1</x:v>
      </x:c>
      <x:c r="J453" s="563" t="n">
        <x:f>MAX(G453*D453*I453,0)</x:f>
        <x:v>552.2367574934775</x:v>
      </x:c>
      <x:c r="K453" s="563" t="n">
        <x:f>MAX(MIN(J453*F453,H453),0)</x:f>
        <x:v>220.89470299739102</x:v>
      </x:c>
      <x:c r="L453" s="563" t="n">
        <x:f>MAX(J453-K453,0)</x:f>
        <x:v>331.34205449608646</x:v>
      </x:c>
      <x:c r="M453" s="185" t="n">
        <x:f>MAX('詳細設定'!$D$6,0)*(1+'詳細設定'!$D$21)^(B453-1)</x:f>
        <x:v>41.45065509805275</x:v>
      </x:c>
      <x:c r="N453" s="185" t="n">
        <x:f>IF(B453&lt;=MAX(MIN('詳細設定'!$D$8,20),0),MAX('詳細設定'!$D$7,0),IF(B453&lt;=MAX(MIN('詳細設定'!$D$10,20),0),MAX('詳細設定'!$D$9,0),MAX('詳細設定'!$D$11,0)))</x:f>
        <x:v>8.3</x:v>
      </x:c>
      <x:c r="O453" s="190" t="n">
        <x:f>K453*M453</x:f>
        <x:v>9156.230146931654</x:v>
      </x:c>
      <x:c r="P453" s="190" t="n">
        <x:f>L453*N453</x:f>
        <x:v>2750.139052317518</x:v>
      </x:c>
      <x:c r="Q453" s="190" t="n">
        <x:f>O453+P453</x:f>
        <x:v>11906.369199249171</x:v>
      </x:c>
      <x:c r="R453" s="196" t="n">
        <x:f>J453-K453-L453</x:f>
        <x:v>0</x:v>
      </x:c>
    </x:row>
    <x:row r="454">
      <x:c r="A454" s="20" t="str">
        <x:v>標準</x:v>
      </x:c>
      <x:c r="B454" s="20" t="n">
        <x:v>18</x:v>
      </x:c>
      <x:c r="C454" s="20" t="n">
        <x:v>6</x:v>
      </x:c>
      <x:c r="D454" s="189" t="n">
        <x:v>1</x:v>
      </x:c>
      <x:c r="E454" s="189" t="n">
        <x:v>1</x:v>
      </x:c>
      <x:c r="F454" s="189" t="n">
        <x:f>MAX(MIN('詳細設定'!$D$15+0,1),0)</x:f>
        <x:v>0.4</x:v>
      </x:c>
      <x:c r="G454" s="563" t="n">
        <x:f>'_計算月次'!$J$10</x:f>
        <x:v>448.7994857612148</x:v>
      </x:c>
      <x:c r="H454" s="563" t="n">
        <x:f>'_計算月次'!$K$10</x:f>
        <x:v>360</x:v>
      </x:c>
      <x:c r="I454" s="563" t="n">
        <x:f>(1-MAX(MIN('詳細設定'!$D$16,0.999999),0))^(B454-1)</x:f>
        <x:v>1</x:v>
      </x:c>
      <x:c r="J454" s="563" t="n">
        <x:f>MAX(G454*D454*I454,0)</x:f>
        <x:v>448.7994857612148</x:v>
      </x:c>
      <x:c r="K454" s="563" t="n">
        <x:f>MAX(MIN(J454*F454,H454),0)</x:f>
        <x:v>179.5197943044859</x:v>
      </x:c>
      <x:c r="L454" s="563" t="n">
        <x:f>MAX(J454-K454,0)</x:f>
        <x:v>269.27969145672887</x:v>
      </x:c>
      <x:c r="M454" s="185" t="n">
        <x:f>MAX('詳細設定'!$D$6,0)*(1+'詳細設定'!$D$21)^(B454-1)</x:f>
        <x:v>41.45065509805275</x:v>
      </x:c>
      <x:c r="N454" s="185" t="n">
        <x:f>IF(B454&lt;=MAX(MIN('詳細設定'!$D$8,20),0),MAX('詳細設定'!$D$7,0),IF(B454&lt;=MAX(MIN('詳細設定'!$D$10,20),0),MAX('詳細設定'!$D$9,0),MAX('詳細設定'!$D$11,0)))</x:f>
        <x:v>8.3</x:v>
      </x:c>
      <x:c r="O454" s="190" t="n">
        <x:f>K454*M454</x:f>
        <x:v>7441.21307698862</x:v>
      </x:c>
      <x:c r="P454" s="190" t="n">
        <x:f>L454*N454</x:f>
        <x:v>2235.02143909085</x:v>
      </x:c>
      <x:c r="Q454" s="190" t="n">
        <x:f>O454+P454</x:f>
        <x:v>9676.23451607947</x:v>
      </x:c>
      <x:c r="R454" s="196" t="n">
        <x:f>J454-K454-L454</x:f>
        <x:v>0</x:v>
      </x:c>
    </x:row>
    <x:row r="455">
      <x:c r="A455" s="20" t="str">
        <x:v>標準</x:v>
      </x:c>
      <x:c r="B455" s="20" t="n">
        <x:v>18</x:v>
      </x:c>
      <x:c r="C455" s="20" t="n">
        <x:v>7</x:v>
      </x:c>
      <x:c r="D455" s="189" t="n">
        <x:v>1</x:v>
      </x:c>
      <x:c r="E455" s="189" t="n">
        <x:v>1</x:v>
      </x:c>
      <x:c r="F455" s="189" t="n">
        <x:f>MAX(MIN('詳細設定'!$D$15+0,1),0)</x:f>
        <x:v>0.4</x:v>
      </x:c>
      <x:c r="G455" s="563" t="n">
        <x:f>'_計算月次'!$J$11</x:f>
        <x:v>476.0181638067866</x:v>
      </x:c>
      <x:c r="H455" s="563" t="n">
        <x:f>'_計算月次'!$K$11</x:f>
        <x:v>405</x:v>
      </x:c>
      <x:c r="I455" s="563" t="n">
        <x:f>(1-MAX(MIN('詳細設定'!$D$16,0.999999),0))^(B455-1)</x:f>
        <x:v>1</x:v>
      </x:c>
      <x:c r="J455" s="563" t="n">
        <x:f>MAX(G455*D455*I455,0)</x:f>
        <x:v>476.0181638067866</x:v>
      </x:c>
      <x:c r="K455" s="563" t="n">
        <x:f>MAX(MIN(J455*F455,H455),0)</x:f>
        <x:v>190.40726552271465</x:v>
      </x:c>
      <x:c r="L455" s="563" t="n">
        <x:f>MAX(J455-K455,0)</x:f>
        <x:v>285.61089828407194</x:v>
      </x:c>
      <x:c r="M455" s="185" t="n">
        <x:f>MAX('詳細設定'!$D$6,0)*(1+'詳細設定'!$D$21)^(B455-1)</x:f>
        <x:v>41.45065509805275</x:v>
      </x:c>
      <x:c r="N455" s="185" t="n">
        <x:f>IF(B455&lt;=MAX(MIN('詳細設定'!$D$8,20),0),MAX('詳細設定'!$D$7,0),IF(B455&lt;=MAX(MIN('詳細設定'!$D$10,20),0),MAX('詳細設定'!$D$9,0),MAX('詳細設定'!$D$11,0)))</x:f>
        <x:v>8.3</x:v>
      </x:c>
      <x:c r="O455" s="190" t="n">
        <x:f>K455*M455</x:f>
        <x:v>7892.505891345396</x:v>
      </x:c>
      <x:c r="P455" s="190" t="n">
        <x:f>L455*N455</x:f>
        <x:v>2370.5704557577974</x:v>
      </x:c>
      <x:c r="Q455" s="190" t="n">
        <x:f>O455+P455</x:f>
        <x:v>10263.076347103193</x:v>
      </x:c>
      <x:c r="R455" s="196" t="n">
        <x:f>J455-K455-L455</x:f>
        <x:v>0</x:v>
      </x:c>
    </x:row>
    <x:row r="456">
      <x:c r="A456" s="20" t="str">
        <x:v>標準</x:v>
      </x:c>
      <x:c r="B456" s="20" t="n">
        <x:v>18</x:v>
      </x:c>
      <x:c r="C456" s="20" t="n">
        <x:v>8</x:v>
      </x:c>
      <x:c r="D456" s="189" t="n">
        <x:v>1</x:v>
      </x:c>
      <x:c r="E456" s="189" t="n">
        <x:v>1</x:v>
      </x:c>
      <x:c r="F456" s="189" t="n">
        <x:f>MAX(MIN('詳細設定'!$D$15+0,1),0)</x:f>
        <x:v>0.4</x:v>
      </x:c>
      <x:c r="G456" s="563" t="n">
        <x:f>'_計算月次'!$J$12</x:f>
        <x:v>528.6548067323699</x:v>
      </x:c>
      <x:c r="H456" s="563" t="n">
        <x:f>'_計算月次'!$K$12</x:f>
        <x:v>450</x:v>
      </x:c>
      <x:c r="I456" s="563" t="n">
        <x:f>(1-MAX(MIN('詳細設定'!$D$16,0.999999),0))^(B456-1)</x:f>
        <x:v>1</x:v>
      </x:c>
      <x:c r="J456" s="563" t="n">
        <x:f>MAX(G456*D456*I456,0)</x:f>
        <x:v>528.6548067323699</x:v>
      </x:c>
      <x:c r="K456" s="563" t="n">
        <x:f>MAX(MIN(J456*F456,H456),0)</x:f>
        <x:v>211.46192269294798</x:v>
      </x:c>
      <x:c r="L456" s="563" t="n">
        <x:f>MAX(J456-K456,0)</x:f>
        <x:v>317.192884039422</x:v>
      </x:c>
      <x:c r="M456" s="185" t="n">
        <x:f>MAX('詳細設定'!$D$6,0)*(1+'詳細設定'!$D$21)^(B456-1)</x:f>
        <x:v>41.45065509805275</x:v>
      </x:c>
      <x:c r="N456" s="185" t="n">
        <x:f>IF(B456&lt;=MAX(MIN('詳細設定'!$D$8,20),0),MAX('詳細設定'!$D$7,0),IF(B456&lt;=MAX(MIN('詳細設定'!$D$10,20),0),MAX('詳細設定'!$D$9,0),MAX('詳細設定'!$D$11,0)))</x:f>
        <x:v>8.3</x:v>
      </x:c>
      <x:c r="O456" s="190" t="n">
        <x:f>K456*M456</x:f>
        <x:v>8765.235223916481</x:v>
      </x:c>
      <x:c r="P456" s="190" t="n">
        <x:f>L456*N456</x:f>
        <x:v>2632.7009375272028</x:v>
      </x:c>
      <x:c r="Q456" s="190" t="n">
        <x:f>O456+P456</x:f>
        <x:v>11397.936161443684</x:v>
      </x:c>
      <x:c r="R456" s="196" t="n">
        <x:f>J456-K456-L456</x:f>
        <x:v>0</x:v>
      </x:c>
    </x:row>
    <x:row r="457">
      <x:c r="A457" s="20" t="str">
        <x:v>標準</x:v>
      </x:c>
      <x:c r="B457" s="20" t="n">
        <x:v>18</x:v>
      </x:c>
      <x:c r="C457" s="20" t="n">
        <x:v>9</x:v>
      </x:c>
      <x:c r="D457" s="189" t="n">
        <x:v>1</x:v>
      </x:c>
      <x:c r="E457" s="189" t="n">
        <x:v>1</x:v>
      </x:c>
      <x:c r="F457" s="189" t="n">
        <x:f>MAX(MIN('詳細設定'!$D$15+0,1),0)</x:f>
        <x:v>0.4</x:v>
      </x:c>
      <x:c r="G457" s="563" t="n">
        <x:f>'_計算月次'!$J$13</x:f>
        <x:v>436.37734765103465</x:v>
      </x:c>
      <x:c r="H457" s="563" t="n">
        <x:f>'_計算月次'!$K$13</x:f>
        <x:v>360</x:v>
      </x:c>
      <x:c r="I457" s="563" t="n">
        <x:f>(1-MAX(MIN('詳細設定'!$D$16,0.999999),0))^(B457-1)</x:f>
        <x:v>1</x:v>
      </x:c>
      <x:c r="J457" s="563" t="n">
        <x:f>MAX(G457*D457*I457,0)</x:f>
        <x:v>436.37734765103465</x:v>
      </x:c>
      <x:c r="K457" s="563" t="n">
        <x:f>MAX(MIN(J457*F457,H457),0)</x:f>
        <x:v>174.55093906041387</x:v>
      </x:c>
      <x:c r="L457" s="563" t="n">
        <x:f>MAX(J457-K457,0)</x:f>
        <x:v>261.82640859062076</x:v>
      </x:c>
      <x:c r="M457" s="185" t="n">
        <x:f>MAX('詳細設定'!$D$6,0)*(1+'詳細設定'!$D$21)^(B457-1)</x:f>
        <x:v>41.45065509805275</x:v>
      </x:c>
      <x:c r="N457" s="185" t="n">
        <x:f>IF(B457&lt;=MAX(MIN('詳細設定'!$D$8,20),0),MAX('詳細設定'!$D$7,0),IF(B457&lt;=MAX(MIN('詳細設定'!$D$10,20),0),MAX('詳細設定'!$D$9,0),MAX('詳細設定'!$D$11,0)))</x:f>
        <x:v>8.3</x:v>
      </x:c>
      <x:c r="O457" s="190" t="n">
        <x:f>K457*M457</x:f>
        <x:v>7235.250772034439</x:v>
      </x:c>
      <x:c r="P457" s="190" t="n">
        <x:f>L457*N457</x:f>
        <x:v>2173.1591913021525</x:v>
      </x:c>
      <x:c r="Q457" s="190" t="n">
        <x:f>O457+P457</x:f>
        <x:v>9408.409963336591</x:v>
      </x:c>
      <x:c r="R457" s="196" t="n">
        <x:f>J457-K457-L457</x:f>
        <x:v>0</x:v>
      </x:c>
    </x:row>
    <x:row r="458">
      <x:c r="A458" s="20" t="str">
        <x:v>標準</x:v>
      </x:c>
      <x:c r="B458" s="20" t="n">
        <x:v>18</x:v>
      </x:c>
      <x:c r="C458" s="20" t="n">
        <x:v>10</x:v>
      </x:c>
      <x:c r="D458" s="189" t="n">
        <x:v>1</x:v>
      </x:c>
      <x:c r="E458" s="189" t="n">
        <x:v>1</x:v>
      </x:c>
      <x:c r="F458" s="189" t="n">
        <x:f>MAX(MIN('詳細設定'!$D$15+0,1),0)</x:f>
        <x:v>0.4</x:v>
      </x:c>
      <x:c r="G458" s="563" t="n">
        <x:f>'_計算月次'!$J$14</x:f>
        <x:v>408.8269849869007</x:v>
      </x:c>
      <x:c r="H458" s="563" t="n">
        <x:f>'_計算月次'!$K$14</x:f>
        <x:v>315.00000000000006</x:v>
      </x:c>
      <x:c r="I458" s="563" t="n">
        <x:f>(1-MAX(MIN('詳細設定'!$D$16,0.999999),0))^(B458-1)</x:f>
        <x:v>1</x:v>
      </x:c>
      <x:c r="J458" s="563" t="n">
        <x:f>MAX(G458*D458*I458,0)</x:f>
        <x:v>408.8269849869007</x:v>
      </x:c>
      <x:c r="K458" s="563" t="n">
        <x:f>MAX(MIN(J458*F458,H458),0)</x:f>
        <x:v>163.5307939947603</x:v>
      </x:c>
      <x:c r="L458" s="563" t="n">
        <x:f>MAX(J458-K458,0)</x:f>
        <x:v>245.2961909921404</x:v>
      </x:c>
      <x:c r="M458" s="185" t="n">
        <x:f>MAX('詳細設定'!$D$6,0)*(1+'詳細設定'!$D$21)^(B458-1)</x:f>
        <x:v>41.45065509805275</x:v>
      </x:c>
      <x:c r="N458" s="185" t="n">
        <x:f>IF(B458&lt;=MAX(MIN('詳細設定'!$D$8,20),0),MAX('詳細設定'!$D$7,0),IF(B458&lt;=MAX(MIN('詳細設定'!$D$10,20),0),MAX('詳細設定'!$D$9,0),MAX('詳細設定'!$D$11,0)))</x:f>
        <x:v>8.3</x:v>
      </x:c>
      <x:c r="O458" s="190" t="n">
        <x:f>K458*M458</x:f>
        <x:v>6778.458539787525</x:v>
      </x:c>
      <x:c r="P458" s="190" t="n">
        <x:f>L458*N458</x:f>
        <x:v>2035.9583852347655</x:v>
      </x:c>
      <x:c r="Q458" s="190" t="n">
        <x:f>O458+P458</x:f>
        <x:v>8814.416925022291</x:v>
      </x:c>
      <x:c r="R458" s="196" t="n">
        <x:f>J458-K458-L458</x:f>
        <x:v>0</x:v>
      </x:c>
    </x:row>
    <x:row r="459">
      <x:c r="A459" s="20" t="str">
        <x:v>標準</x:v>
      </x:c>
      <x:c r="B459" s="20" t="n">
        <x:v>18</x:v>
      </x:c>
      <x:c r="C459" s="20" t="n">
        <x:v>11</x:v>
      </x:c>
      <x:c r="D459" s="189" t="n">
        <x:v>1</x:v>
      </x:c>
      <x:c r="E459" s="189" t="n">
        <x:v>1</x:v>
      </x:c>
      <x:c r="F459" s="189" t="n">
        <x:f>MAX(MIN('詳細設定'!$D$15+0,1),0)</x:f>
        <x:v>0.4</x:v>
      </x:c>
      <x:c r="G459" s="563" t="n">
        <x:f>'_計算月次'!$J$15</x:f>
        <x:v>398.45169764745054</x:v>
      </x:c>
      <x:c r="H459" s="563" t="n">
        <x:f>'_計算月次'!$K$15</x:f>
        <x:v>360</x:v>
      </x:c>
      <x:c r="I459" s="563" t="n">
        <x:f>(1-MAX(MIN('詳細設定'!$D$16,0.999999),0))^(B459-1)</x:f>
        <x:v>1</x:v>
      </x:c>
      <x:c r="J459" s="563" t="n">
        <x:f>MAX(G459*D459*I459,0)</x:f>
        <x:v>398.45169764745054</x:v>
      </x:c>
      <x:c r="K459" s="563" t="n">
        <x:f>MAX(MIN(J459*F459,H459),0)</x:f>
        <x:v>159.38067905898023</x:v>
      </x:c>
      <x:c r="L459" s="563" t="n">
        <x:f>MAX(J459-K459,0)</x:f>
        <x:v>239.0710185884703</x:v>
      </x:c>
      <x:c r="M459" s="185" t="n">
        <x:f>MAX('詳細設定'!$D$6,0)*(1+'詳細設定'!$D$21)^(B459-1)</x:f>
        <x:v>41.45065509805275</x:v>
      </x:c>
      <x:c r="N459" s="185" t="n">
        <x:f>IF(B459&lt;=MAX(MIN('詳細設定'!$D$8,20),0),MAX('詳細設定'!$D$7,0),IF(B459&lt;=MAX(MIN('詳細設定'!$D$10,20),0),MAX('詳細設定'!$D$9,0),MAX('詳細設定'!$D$11,0)))</x:f>
        <x:v>8.3</x:v>
      </x:c>
      <x:c r="O459" s="190" t="n">
        <x:f>K459*M459</x:f>
        <x:v>6606.4335569672285</x:v>
      </x:c>
      <x:c r="P459" s="190" t="n">
        <x:f>L459*N459</x:f>
        <x:v>1984.2894542843037</x:v>
      </x:c>
      <x:c r="Q459" s="190" t="n">
        <x:f>O459+P459</x:f>
        <x:v>8590.723011251532</x:v>
      </x:c>
      <x:c r="R459" s="196" t="n">
        <x:f>J459-K459-L459</x:f>
        <x:v>0</x:v>
      </x:c>
    </x:row>
    <x:row r="460">
      <x:c r="A460" s="20" t="str">
        <x:v>標準</x:v>
      </x:c>
      <x:c r="B460" s="20" t="n">
        <x:v>18</x:v>
      </x:c>
      <x:c r="C460" s="20" t="n">
        <x:v>12</x:v>
      </x:c>
      <x:c r="D460" s="189" t="n">
        <x:v>1</x:v>
      </x:c>
      <x:c r="E460" s="189" t="n">
        <x:v>1</x:v>
      </x:c>
      <x:c r="F460" s="189" t="n">
        <x:f>MAX(MIN('詳細設定'!$D$15+0,1),0)</x:f>
        <x:v>0.4</x:v>
      </x:c>
      <x:c r="G460" s="563" t="n">
        <x:f>'_計算月次'!$J$16</x:f>
        <x:v>443.97248688000184</x:v>
      </x:c>
      <x:c r="H460" s="563" t="n">
        <x:f>'_計算月次'!$K$16</x:f>
        <x:v>405</x:v>
      </x:c>
      <x:c r="I460" s="563" t="n">
        <x:f>(1-MAX(MIN('詳細設定'!$D$16,0.999999),0))^(B460-1)</x:f>
        <x:v>1</x:v>
      </x:c>
      <x:c r="J460" s="563" t="n">
        <x:f>MAX(G460*D460*I460,0)</x:f>
        <x:v>443.97248688000184</x:v>
      </x:c>
      <x:c r="K460" s="563" t="n">
        <x:f>MAX(MIN(J460*F460,H460),0)</x:f>
        <x:v>177.58899475200076</x:v>
      </x:c>
      <x:c r="L460" s="563" t="n">
        <x:f>MAX(J460-K460,0)</x:f>
        <x:v>266.3834921280011</x:v>
      </x:c>
      <x:c r="M460" s="185" t="n">
        <x:f>MAX('詳細設定'!$D$6,0)*(1+'詳細設定'!$D$21)^(B460-1)</x:f>
        <x:v>41.45065509805275</x:v>
      </x:c>
      <x:c r="N460" s="185" t="n">
        <x:f>IF(B460&lt;=MAX(MIN('詳細設定'!$D$8,20),0),MAX('詳細設定'!$D$7,0),IF(B460&lt;=MAX(MIN('詳細設定'!$D$10,20),0),MAX('詳細設定'!$D$9,0),MAX('詳細設定'!$D$11,0)))</x:f>
        <x:v>8.3</x:v>
      </x:c>
      <x:c r="O460" s="190" t="n">
        <x:f>K460*M460</x:f>
        <x:v>7361.180170675083</x:v>
      </x:c>
      <x:c r="P460" s="190" t="n">
        <x:f>L460*N460</x:f>
        <x:v>2210.9829846624093</x:v>
      </x:c>
      <x:c r="Q460" s="190" t="n">
        <x:f>O460+P460</x:f>
        <x:v>9572.163155337492</x:v>
      </x:c>
      <x:c r="R460" s="196" t="n">
        <x:f>J460-K460-L460</x:f>
        <x:v>0</x:v>
      </x:c>
    </x:row>
    <x:row r="461">
      <x:c r="A461" s="20" t="str">
        <x:v>標準</x:v>
      </x:c>
      <x:c r="B461" s="20" t="n">
        <x:v>19</x:v>
      </x:c>
      <x:c r="C461" s="20" t="n">
        <x:v>1</x:v>
      </x:c>
      <x:c r="D461" s="189" t="n">
        <x:v>1</x:v>
      </x:c>
      <x:c r="E461" s="189" t="n">
        <x:v>1</x:v>
      </x:c>
      <x:c r="F461" s="189" t="n">
        <x:f>MAX(MIN('詳細設定'!$D$15+0,1),0)</x:f>
        <x:v>0.4</x:v>
      </x:c>
      <x:c r="G461" s="563" t="n">
        <x:f>'_計算月次'!$J$5</x:f>
        <x:v>502.4147595742038</x:v>
      </x:c>
      <x:c r="H461" s="563" t="n">
        <x:f>'_計算月次'!$K$5</x:f>
        <x:v>450</x:v>
      </x:c>
      <x:c r="I461" s="563" t="n">
        <x:f>(1-MAX(MIN('詳細設定'!$D$16,0.999999),0))^(B461-1)</x:f>
        <x:v>1</x:v>
      </x:c>
      <x:c r="J461" s="563" t="n">
        <x:f>MAX(G461*D461*I461,0)</x:f>
        <x:v>502.4147595742038</x:v>
      </x:c>
      <x:c r="K461" s="563" t="n">
        <x:f>MAX(MIN(J461*F461,H461),0)</x:f>
        <x:v>200.96590382968154</x:v>
      </x:c>
      <x:c r="L461" s="563" t="n">
        <x:f>MAX(J461-K461,0)</x:f>
        <x:v>301.44885574452223</x:v>
      </x:c>
      <x:c r="M461" s="185" t="n">
        <x:f>MAX('詳細設定'!$D$6,0)*(1+'詳細設定'!$D$21)^(B461-1)</x:f>
        <x:v>41.865161649033276</x:v>
      </x:c>
      <x:c r="N461" s="185" t="n">
        <x:f>IF(B461&lt;=MAX(MIN('詳細設定'!$D$8,20),0),MAX('詳細設定'!$D$7,0),IF(B461&lt;=MAX(MIN('詳細設定'!$D$10,20),0),MAX('詳細設定'!$D$9,0),MAX('詳細設定'!$D$11,0)))</x:f>
        <x:v>8.3</x:v>
      </x:c>
      <x:c r="O461" s="190" t="n">
        <x:f>K461*M461</x:f>
        <x:v>8413.470049773692</x:v>
      </x:c>
      <x:c r="P461" s="190" t="n">
        <x:f>L461*N461</x:f>
        <x:v>2502.025502679535</x:v>
      </x:c>
      <x:c r="Q461" s="190" t="n">
        <x:f>O461+P461</x:f>
        <x:v>10915.495552453227</x:v>
      </x:c>
      <x:c r="R461" s="196" t="n">
        <x:f>J461-K461-L461</x:f>
        <x:v>0</x:v>
      </x:c>
    </x:row>
    <x:row r="462">
      <x:c r="A462" s="20" t="str">
        <x:v>標準</x:v>
      </x:c>
      <x:c r="B462" s="20" t="n">
        <x:v>19</x:v>
      </x:c>
      <x:c r="C462" s="20" t="n">
        <x:v>2</x:v>
      </x:c>
      <x:c r="D462" s="189" t="n">
        <x:v>1</x:v>
      </x:c>
      <x:c r="E462" s="189" t="n">
        <x:v>1</x:v>
      </x:c>
      <x:c r="F462" s="189" t="n">
        <x:f>MAX(MIN('詳細設定'!$D$15+0,1),0)</x:f>
        <x:v>0.4</x:v>
      </x:c>
      <x:c r="G462" s="563" t="n">
        <x:f>'_計算月次'!$J$6</x:f>
        <x:v>472.4508339500229</x:v>
      </x:c>
      <x:c r="H462" s="563" t="n">
        <x:f>'_計算月次'!$K$6</x:f>
        <x:v>405</x:v>
      </x:c>
      <x:c r="I462" s="563" t="n">
        <x:f>(1-MAX(MIN('詳細設定'!$D$16,0.999999),0))^(B462-1)</x:f>
        <x:v>1</x:v>
      </x:c>
      <x:c r="J462" s="563" t="n">
        <x:f>MAX(G462*D462*I462,0)</x:f>
        <x:v>472.4508339500229</x:v>
      </x:c>
      <x:c r="K462" s="563" t="n">
        <x:f>MAX(MIN(J462*F462,H462),0)</x:f>
        <x:v>188.9803335800092</x:v>
      </x:c>
      <x:c r="L462" s="563" t="n">
        <x:f>MAX(J462-K462,0)</x:f>
        <x:v>283.4705003700137</x:v>
      </x:c>
      <x:c r="M462" s="185" t="n">
        <x:f>MAX('詳細設定'!$D$6,0)*(1+'詳細設定'!$D$21)^(B462-1)</x:f>
        <x:v>41.865161649033276</x:v>
      </x:c>
      <x:c r="N462" s="185" t="n">
        <x:f>IF(B462&lt;=MAX(MIN('詳細設定'!$D$8,20),0),MAX('詳細設定'!$D$7,0),IF(B462&lt;=MAX(MIN('詳細設定'!$D$10,20),0),MAX('詳細設定'!$D$9,0),MAX('詳細設定'!$D$11,0)))</x:f>
        <x:v>8.3</x:v>
      </x:c>
      <x:c r="O462" s="190" t="n">
        <x:f>K462*M462</x:f>
        <x:v>7911.692213815316</x:v>
      </x:c>
      <x:c r="P462" s="190" t="n">
        <x:f>L462*N462</x:f>
        <x:v>2352.805153071114</x:v>
      </x:c>
      <x:c r="Q462" s="190" t="n">
        <x:f>O462+P462</x:f>
        <x:v>10264.49736688643</x:v>
      </x:c>
      <x:c r="R462" s="196" t="n">
        <x:f>J462-K462-L462</x:f>
        <x:v>0</x:v>
      </x:c>
    </x:row>
    <x:row r="463">
      <x:c r="A463" s="20" t="str">
        <x:v>標準</x:v>
      </x:c>
      <x:c r="B463" s="20" t="n">
        <x:v>19</x:v>
      </x:c>
      <x:c r="C463" s="20" t="n">
        <x:v>3</x:v>
      </x:c>
      <x:c r="D463" s="189" t="n">
        <x:v>1</x:v>
      </x:c>
      <x:c r="E463" s="189" t="n">
        <x:v>1</x:v>
      </x:c>
      <x:c r="F463" s="189" t="n">
        <x:f>MAX(MIN('詳細設定'!$D$15+0,1),0)</x:f>
        <x:v>0.4</x:v>
      </x:c>
      <x:c r="G463" s="563" t="n">
        <x:f>'_計算月次'!$J$7</x:f>
        <x:v>548.3418864753118</x:v>
      </x:c>
      <x:c r="H463" s="563" t="n">
        <x:f>'_計算月次'!$K$7</x:f>
        <x:v>360</x:v>
      </x:c>
      <x:c r="I463" s="563" t="n">
        <x:f>(1-MAX(MIN('詳細設定'!$D$16,0.999999),0))^(B463-1)</x:f>
        <x:v>1</x:v>
      </x:c>
      <x:c r="J463" s="563" t="n">
        <x:f>MAX(G463*D463*I463,0)</x:f>
        <x:v>548.3418864753118</x:v>
      </x:c>
      <x:c r="K463" s="563" t="n">
        <x:f>MAX(MIN(J463*F463,H463),0)</x:f>
        <x:v>219.3367545901247</x:v>
      </x:c>
      <x:c r="L463" s="563" t="n">
        <x:f>MAX(J463-K463,0)</x:f>
        <x:v>329.00513188518704</x:v>
      </x:c>
      <x:c r="M463" s="185" t="n">
        <x:f>MAX('詳細設定'!$D$6,0)*(1+'詳細設定'!$D$21)^(B463-1)</x:f>
        <x:v>41.865161649033276</x:v>
      </x:c>
      <x:c r="N463" s="185" t="n">
        <x:f>IF(B463&lt;=MAX(MIN('詳細設定'!$D$8,20),0),MAX('詳細設定'!$D$7,0),IF(B463&lt;=MAX(MIN('詳細設定'!$D$10,20),0),MAX('詳細設定'!$D$9,0),MAX('詳細設定'!$D$11,0)))</x:f>
        <x:v>8.3</x:v>
      </x:c>
      <x:c r="O463" s="190" t="n">
        <x:f>K463*M463</x:f>
        <x:v>9182.568686489913</x:v>
      </x:c>
      <x:c r="P463" s="190" t="n">
        <x:f>L463*N463</x:f>
        <x:v>2730.7425946470526</x:v>
      </x:c>
      <x:c r="Q463" s="190" t="n">
        <x:f>O463+P463</x:f>
        <x:v>11913.311281136965</x:v>
      </x:c>
      <x:c r="R463" s="196" t="n">
        <x:f>J463-K463-L463</x:f>
        <x:v>0</x:v>
      </x:c>
    </x:row>
    <x:row r="464">
      <x:c r="A464" s="20" t="str">
        <x:v>標準</x:v>
      </x:c>
      <x:c r="B464" s="20" t="n">
        <x:v>19</x:v>
      </x:c>
      <x:c r="C464" s="20" t="n">
        <x:v>4</x:v>
      </x:c>
      <x:c r="D464" s="189" t="n">
        <x:v>1</x:v>
      </x:c>
      <x:c r="E464" s="189" t="n">
        <x:v>1</x:v>
      </x:c>
      <x:c r="F464" s="189" t="n">
        <x:f>MAX(MIN('詳細設定'!$D$15+0,1),0)</x:f>
        <x:v>0.4</x:v>
      </x:c>
      <x:c r="G464" s="563" t="n">
        <x:f>'_計算月次'!$J$8</x:f>
        <x:v>548.3944393749554</x:v>
      </x:c>
      <x:c r="H464" s="563" t="n">
        <x:f>'_計算月次'!$K$8</x:f>
        <x:v>315.00000000000006</x:v>
      </x:c>
      <x:c r="I464" s="563" t="n">
        <x:f>(1-MAX(MIN('詳細設定'!$D$16,0.999999),0))^(B464-1)</x:f>
        <x:v>1</x:v>
      </x:c>
      <x:c r="J464" s="563" t="n">
        <x:f>MAX(G464*D464*I464,0)</x:f>
        <x:v>548.3944393749554</x:v>
      </x:c>
      <x:c r="K464" s="563" t="n">
        <x:f>MAX(MIN(J464*F464,H464),0)</x:f>
        <x:v>219.35777574998215</x:v>
      </x:c>
      <x:c r="L464" s="563" t="n">
        <x:f>MAX(J464-K464,0)</x:f>
        <x:v>329.03666362497324</x:v>
      </x:c>
      <x:c r="M464" s="185" t="n">
        <x:f>MAX('詳細設定'!$D$6,0)*(1+'詳細設定'!$D$21)^(B464-1)</x:f>
        <x:v>41.865161649033276</x:v>
      </x:c>
      <x:c r="N464" s="185" t="n">
        <x:f>IF(B464&lt;=MAX(MIN('詳細設定'!$D$8,20),0),MAX('詳細設定'!$D$7,0),IF(B464&lt;=MAX(MIN('詳細設定'!$D$10,20),0),MAX('詳細設定'!$D$9,0),MAX('詳細設定'!$D$11,0)))</x:f>
        <x:v>8.3</x:v>
      </x:c>
      <x:c r="O464" s="190" t="n">
        <x:f>K464*M464</x:f>
        <x:v>9183.448740745394</x:v>
      </x:c>
      <x:c r="P464" s="190" t="n">
        <x:f>L464*N464</x:f>
        <x:v>2731.0043080872783</x:v>
      </x:c>
      <x:c r="Q464" s="190" t="n">
        <x:f>O464+P464</x:f>
        <x:v>11914.453048832673</x:v>
      </x:c>
      <x:c r="R464" s="196" t="n">
        <x:f>J464-K464-L464</x:f>
        <x:v>0</x:v>
      </x:c>
    </x:row>
    <x:row r="465">
      <x:c r="A465" s="20" t="str">
        <x:v>標準</x:v>
      </x:c>
      <x:c r="B465" s="20" t="n">
        <x:v>19</x:v>
      </x:c>
      <x:c r="C465" s="20" t="n">
        <x:v>5</x:v>
      </x:c>
      <x:c r="D465" s="189" t="n">
        <x:v>1</x:v>
      </x:c>
      <x:c r="E465" s="189" t="n">
        <x:v>1</x:v>
      </x:c>
      <x:c r="F465" s="189" t="n">
        <x:f>MAX(MIN('詳細設定'!$D$15+0,1),0)</x:f>
        <x:v>0.4</x:v>
      </x:c>
      <x:c r="G465" s="563" t="n">
        <x:f>'_計算月次'!$J$9</x:f>
        <x:v>552.2367574934775</x:v>
      </x:c>
      <x:c r="H465" s="563" t="n">
        <x:f>'_計算月次'!$K$9</x:f>
        <x:v>315.00000000000006</x:v>
      </x:c>
      <x:c r="I465" s="563" t="n">
        <x:f>(1-MAX(MIN('詳細設定'!$D$16,0.999999),0))^(B465-1)</x:f>
        <x:v>1</x:v>
      </x:c>
      <x:c r="J465" s="563" t="n">
        <x:f>MAX(G465*D465*I465,0)</x:f>
        <x:v>552.2367574934775</x:v>
      </x:c>
      <x:c r="K465" s="563" t="n">
        <x:f>MAX(MIN(J465*F465,H465),0)</x:f>
        <x:v>220.89470299739102</x:v>
      </x:c>
      <x:c r="L465" s="563" t="n">
        <x:f>MAX(J465-K465,0)</x:f>
        <x:v>331.34205449608646</x:v>
      </x:c>
      <x:c r="M465" s="185" t="n">
        <x:f>MAX('詳細設定'!$D$6,0)*(1+'詳細設定'!$D$21)^(B465-1)</x:f>
        <x:v>41.865161649033276</x:v>
      </x:c>
      <x:c r="N465" s="185" t="n">
        <x:f>IF(B465&lt;=MAX(MIN('詳細設定'!$D$8,20),0),MAX('詳細設定'!$D$7,0),IF(B465&lt;=MAX(MIN('詳細設定'!$D$10,20),0),MAX('詳細設定'!$D$9,0),MAX('詳細設定'!$D$11,0)))</x:f>
        <x:v>8.3</x:v>
      </x:c>
      <x:c r="O465" s="190" t="n">
        <x:f>K465*M465</x:f>
        <x:v>9247.79244840097</x:v>
      </x:c>
      <x:c r="P465" s="190" t="n">
        <x:f>L465*N465</x:f>
        <x:v>2750.139052317518</x:v>
      </x:c>
      <x:c r="Q465" s="190" t="n">
        <x:f>O465+P465</x:f>
        <x:v>11997.931500718489</x:v>
      </x:c>
      <x:c r="R465" s="196" t="n">
        <x:f>J465-K465-L465</x:f>
        <x:v>0</x:v>
      </x:c>
    </x:row>
    <x:row r="466">
      <x:c r="A466" s="20" t="str">
        <x:v>標準</x:v>
      </x:c>
      <x:c r="B466" s="20" t="n">
        <x:v>19</x:v>
      </x:c>
      <x:c r="C466" s="20" t="n">
        <x:v>6</x:v>
      </x:c>
      <x:c r="D466" s="189" t="n">
        <x:v>1</x:v>
      </x:c>
      <x:c r="E466" s="189" t="n">
        <x:v>1</x:v>
      </x:c>
      <x:c r="F466" s="189" t="n">
        <x:f>MAX(MIN('詳細設定'!$D$15+0,1),0)</x:f>
        <x:v>0.4</x:v>
      </x:c>
      <x:c r="G466" s="563" t="n">
        <x:f>'_計算月次'!$J$10</x:f>
        <x:v>448.7994857612148</x:v>
      </x:c>
      <x:c r="H466" s="563" t="n">
        <x:f>'_計算月次'!$K$10</x:f>
        <x:v>360</x:v>
      </x:c>
      <x:c r="I466" s="563" t="n">
        <x:f>(1-MAX(MIN('詳細設定'!$D$16,0.999999),0))^(B466-1)</x:f>
        <x:v>1</x:v>
      </x:c>
      <x:c r="J466" s="563" t="n">
        <x:f>MAX(G466*D466*I466,0)</x:f>
        <x:v>448.7994857612148</x:v>
      </x:c>
      <x:c r="K466" s="563" t="n">
        <x:f>MAX(MIN(J466*F466,H466),0)</x:f>
        <x:v>179.5197943044859</x:v>
      </x:c>
      <x:c r="L466" s="563" t="n">
        <x:f>MAX(J466-K466,0)</x:f>
        <x:v>269.27969145672887</x:v>
      </x:c>
      <x:c r="M466" s="185" t="n">
        <x:f>MAX('詳細設定'!$D$6,0)*(1+'詳細設定'!$D$21)^(B466-1)</x:f>
        <x:v>41.865161649033276</x:v>
      </x:c>
      <x:c r="N466" s="185" t="n">
        <x:f>IF(B466&lt;=MAX(MIN('詳細設定'!$D$8,20),0),MAX('詳細設定'!$D$7,0),IF(B466&lt;=MAX(MIN('詳細設定'!$D$10,20),0),MAX('詳細設定'!$D$9,0),MAX('詳細設定'!$D$11,0)))</x:f>
        <x:v>8.3</x:v>
      </x:c>
      <x:c r="O466" s="190" t="n">
        <x:f>K466*M466</x:f>
        <x:v>7515.625207758506</x:v>
      </x:c>
      <x:c r="P466" s="190" t="n">
        <x:f>L466*N466</x:f>
        <x:v>2235.02143909085</x:v>
      </x:c>
      <x:c r="Q466" s="190" t="n">
        <x:f>O466+P466</x:f>
        <x:v>9750.646646849356</x:v>
      </x:c>
      <x:c r="R466" s="196" t="n">
        <x:f>J466-K466-L466</x:f>
        <x:v>0</x:v>
      </x:c>
    </x:row>
    <x:row r="467">
      <x:c r="A467" s="20" t="str">
        <x:v>標準</x:v>
      </x:c>
      <x:c r="B467" s="20" t="n">
        <x:v>19</x:v>
      </x:c>
      <x:c r="C467" s="20" t="n">
        <x:v>7</x:v>
      </x:c>
      <x:c r="D467" s="189" t="n">
        <x:v>1</x:v>
      </x:c>
      <x:c r="E467" s="189" t="n">
        <x:v>1</x:v>
      </x:c>
      <x:c r="F467" s="189" t="n">
        <x:f>MAX(MIN('詳細設定'!$D$15+0,1),0)</x:f>
        <x:v>0.4</x:v>
      </x:c>
      <x:c r="G467" s="563" t="n">
        <x:f>'_計算月次'!$J$11</x:f>
        <x:v>476.0181638067866</x:v>
      </x:c>
      <x:c r="H467" s="563" t="n">
        <x:f>'_計算月次'!$K$11</x:f>
        <x:v>405</x:v>
      </x:c>
      <x:c r="I467" s="563" t="n">
        <x:f>(1-MAX(MIN('詳細設定'!$D$16,0.999999),0))^(B467-1)</x:f>
        <x:v>1</x:v>
      </x:c>
      <x:c r="J467" s="563" t="n">
        <x:f>MAX(G467*D467*I467,0)</x:f>
        <x:v>476.0181638067866</x:v>
      </x:c>
      <x:c r="K467" s="563" t="n">
        <x:f>MAX(MIN(J467*F467,H467),0)</x:f>
        <x:v>190.40726552271465</x:v>
      </x:c>
      <x:c r="L467" s="563" t="n">
        <x:f>MAX(J467-K467,0)</x:f>
        <x:v>285.61089828407194</x:v>
      </x:c>
      <x:c r="M467" s="185" t="n">
        <x:f>MAX('詳細設定'!$D$6,0)*(1+'詳細設定'!$D$21)^(B467-1)</x:f>
        <x:v>41.865161649033276</x:v>
      </x:c>
      <x:c r="N467" s="185" t="n">
        <x:f>IF(B467&lt;=MAX(MIN('詳細設定'!$D$8,20),0),MAX('詳細設定'!$D$7,0),IF(B467&lt;=MAX(MIN('詳細設定'!$D$10,20),0),MAX('詳細設定'!$D$9,0),MAX('詳細設定'!$D$11,0)))</x:f>
        <x:v>8.3</x:v>
      </x:c>
      <x:c r="O467" s="190" t="n">
        <x:f>K467*M467</x:f>
        <x:v>7971.430950258849</x:v>
      </x:c>
      <x:c r="P467" s="190" t="n">
        <x:f>L467*N467</x:f>
        <x:v>2370.5704557577974</x:v>
      </x:c>
      <x:c r="Q467" s="190" t="n">
        <x:f>O467+P467</x:f>
        <x:v>10342.001406016647</x:v>
      </x:c>
      <x:c r="R467" s="196" t="n">
        <x:f>J467-K467-L467</x:f>
        <x:v>0</x:v>
      </x:c>
    </x:row>
    <x:row r="468">
      <x:c r="A468" s="20" t="str">
        <x:v>標準</x:v>
      </x:c>
      <x:c r="B468" s="20" t="n">
        <x:v>19</x:v>
      </x:c>
      <x:c r="C468" s="20" t="n">
        <x:v>8</x:v>
      </x:c>
      <x:c r="D468" s="189" t="n">
        <x:v>1</x:v>
      </x:c>
      <x:c r="E468" s="189" t="n">
        <x:v>1</x:v>
      </x:c>
      <x:c r="F468" s="189" t="n">
        <x:f>MAX(MIN('詳細設定'!$D$15+0,1),0)</x:f>
        <x:v>0.4</x:v>
      </x:c>
      <x:c r="G468" s="563" t="n">
        <x:f>'_計算月次'!$J$12</x:f>
        <x:v>528.6548067323699</x:v>
      </x:c>
      <x:c r="H468" s="563" t="n">
        <x:f>'_計算月次'!$K$12</x:f>
        <x:v>450</x:v>
      </x:c>
      <x:c r="I468" s="563" t="n">
        <x:f>(1-MAX(MIN('詳細設定'!$D$16,0.999999),0))^(B468-1)</x:f>
        <x:v>1</x:v>
      </x:c>
      <x:c r="J468" s="563" t="n">
        <x:f>MAX(G468*D468*I468,0)</x:f>
        <x:v>528.6548067323699</x:v>
      </x:c>
      <x:c r="K468" s="563" t="n">
        <x:f>MAX(MIN(J468*F468,H468),0)</x:f>
        <x:v>211.46192269294798</x:v>
      </x:c>
      <x:c r="L468" s="563" t="n">
        <x:f>MAX(J468-K468,0)</x:f>
        <x:v>317.192884039422</x:v>
      </x:c>
      <x:c r="M468" s="185" t="n">
        <x:f>MAX('詳細設定'!$D$6,0)*(1+'詳細設定'!$D$21)^(B468-1)</x:f>
        <x:v>41.865161649033276</x:v>
      </x:c>
      <x:c r="N468" s="185" t="n">
        <x:f>IF(B468&lt;=MAX(MIN('詳細設定'!$D$8,20),0),MAX('詳細設定'!$D$7,0),IF(B468&lt;=MAX(MIN('詳細設定'!$D$10,20),0),MAX('詳細設定'!$D$9,0),MAX('詳細設定'!$D$11,0)))</x:f>
        <x:v>8.3</x:v>
      </x:c>
      <x:c r="O468" s="190" t="n">
        <x:f>K468*M468</x:f>
        <x:v>8852.887576155645</x:v>
      </x:c>
      <x:c r="P468" s="190" t="n">
        <x:f>L468*N468</x:f>
        <x:v>2632.7009375272028</x:v>
      </x:c>
      <x:c r="Q468" s="190" t="n">
        <x:f>O468+P468</x:f>
        <x:v>11485.588513682847</x:v>
      </x:c>
      <x:c r="R468" s="196" t="n">
        <x:f>J468-K468-L468</x:f>
        <x:v>0</x:v>
      </x:c>
    </x:row>
    <x:row r="469">
      <x:c r="A469" s="20" t="str">
        <x:v>標準</x:v>
      </x:c>
      <x:c r="B469" s="20" t="n">
        <x:v>19</x:v>
      </x:c>
      <x:c r="C469" s="20" t="n">
        <x:v>9</x:v>
      </x:c>
      <x:c r="D469" s="189" t="n">
        <x:v>1</x:v>
      </x:c>
      <x:c r="E469" s="189" t="n">
        <x:v>1</x:v>
      </x:c>
      <x:c r="F469" s="189" t="n">
        <x:f>MAX(MIN('詳細設定'!$D$15+0,1),0)</x:f>
        <x:v>0.4</x:v>
      </x:c>
      <x:c r="G469" s="563" t="n">
        <x:f>'_計算月次'!$J$13</x:f>
        <x:v>436.37734765103465</x:v>
      </x:c>
      <x:c r="H469" s="563" t="n">
        <x:f>'_計算月次'!$K$13</x:f>
        <x:v>360</x:v>
      </x:c>
      <x:c r="I469" s="563" t="n">
        <x:f>(1-MAX(MIN('詳細設定'!$D$16,0.999999),0))^(B469-1)</x:f>
        <x:v>1</x:v>
      </x:c>
      <x:c r="J469" s="563" t="n">
        <x:f>MAX(G469*D469*I469,0)</x:f>
        <x:v>436.37734765103465</x:v>
      </x:c>
      <x:c r="K469" s="563" t="n">
        <x:f>MAX(MIN(J469*F469,H469),0)</x:f>
        <x:v>174.55093906041387</x:v>
      </x:c>
      <x:c r="L469" s="563" t="n">
        <x:f>MAX(J469-K469,0)</x:f>
        <x:v>261.82640859062076</x:v>
      </x:c>
      <x:c r="M469" s="185" t="n">
        <x:f>MAX('詳細設定'!$D$6,0)*(1+'詳細設定'!$D$21)^(B469-1)</x:f>
        <x:v>41.865161649033276</x:v>
      </x:c>
      <x:c r="N469" s="185" t="n">
        <x:f>IF(B469&lt;=MAX(MIN('詳細設定'!$D$8,20),0),MAX('詳細設定'!$D$7,0),IF(B469&lt;=MAX(MIN('詳細設定'!$D$10,20),0),MAX('詳細設定'!$D$9,0),MAX('詳細設定'!$D$11,0)))</x:f>
        <x:v>8.3</x:v>
      </x:c>
      <x:c r="O469" s="190" t="n">
        <x:f>K469*M469</x:f>
        <x:v>7307.603279754783</x:v>
      </x:c>
      <x:c r="P469" s="190" t="n">
        <x:f>L469*N469</x:f>
        <x:v>2173.1591913021525</x:v>
      </x:c>
      <x:c r="Q469" s="190" t="n">
        <x:f>O469+P469</x:f>
        <x:v>9480.762471056936</x:v>
      </x:c>
      <x:c r="R469" s="196" t="n">
        <x:f>J469-K469-L469</x:f>
        <x:v>0</x:v>
      </x:c>
    </x:row>
    <x:row r="470">
      <x:c r="A470" s="20" t="str">
        <x:v>標準</x:v>
      </x:c>
      <x:c r="B470" s="20" t="n">
        <x:v>19</x:v>
      </x:c>
      <x:c r="C470" s="20" t="n">
        <x:v>10</x:v>
      </x:c>
      <x:c r="D470" s="189" t="n">
        <x:v>1</x:v>
      </x:c>
      <x:c r="E470" s="189" t="n">
        <x:v>1</x:v>
      </x:c>
      <x:c r="F470" s="189" t="n">
        <x:f>MAX(MIN('詳細設定'!$D$15+0,1),0)</x:f>
        <x:v>0.4</x:v>
      </x:c>
      <x:c r="G470" s="563" t="n">
        <x:f>'_計算月次'!$J$14</x:f>
        <x:v>408.8269849869007</x:v>
      </x:c>
      <x:c r="H470" s="563" t="n">
        <x:f>'_計算月次'!$K$14</x:f>
        <x:v>315.00000000000006</x:v>
      </x:c>
      <x:c r="I470" s="563" t="n">
        <x:f>(1-MAX(MIN('詳細設定'!$D$16,0.999999),0))^(B470-1)</x:f>
        <x:v>1</x:v>
      </x:c>
      <x:c r="J470" s="563" t="n">
        <x:f>MAX(G470*D470*I470,0)</x:f>
        <x:v>408.8269849869007</x:v>
      </x:c>
      <x:c r="K470" s="563" t="n">
        <x:f>MAX(MIN(J470*F470,H470),0)</x:f>
        <x:v>163.5307939947603</x:v>
      </x:c>
      <x:c r="L470" s="563" t="n">
        <x:f>MAX(J470-K470,0)</x:f>
        <x:v>245.2961909921404</x:v>
      </x:c>
      <x:c r="M470" s="185" t="n">
        <x:f>MAX('詳細設定'!$D$6,0)*(1+'詳細設定'!$D$21)^(B470-1)</x:f>
        <x:v>41.865161649033276</x:v>
      </x:c>
      <x:c r="N470" s="185" t="n">
        <x:f>IF(B470&lt;=MAX(MIN('詳細設定'!$D$8,20),0),MAX('詳細設定'!$D$7,0),IF(B470&lt;=MAX(MIN('詳細設定'!$D$10,20),0),MAX('詳細設定'!$D$9,0),MAX('詳細設定'!$D$11,0)))</x:f>
        <x:v>8.3</x:v>
      </x:c>
      <x:c r="O470" s="190" t="n">
        <x:f>K470*M470</x:f>
        <x:v>6846.2431251854005</x:v>
      </x:c>
      <x:c r="P470" s="190" t="n">
        <x:f>L470*N470</x:f>
        <x:v>2035.9583852347655</x:v>
      </x:c>
      <x:c r="Q470" s="190" t="n">
        <x:f>O470+P470</x:f>
        <x:v>8882.201510420166</x:v>
      </x:c>
      <x:c r="R470" s="196" t="n">
        <x:f>J470-K470-L470</x:f>
        <x:v>0</x:v>
      </x:c>
    </x:row>
    <x:row r="471">
      <x:c r="A471" s="20" t="str">
        <x:v>標準</x:v>
      </x:c>
      <x:c r="B471" s="20" t="n">
        <x:v>19</x:v>
      </x:c>
      <x:c r="C471" s="20" t="n">
        <x:v>11</x:v>
      </x:c>
      <x:c r="D471" s="189" t="n">
        <x:v>1</x:v>
      </x:c>
      <x:c r="E471" s="189" t="n">
        <x:v>1</x:v>
      </x:c>
      <x:c r="F471" s="189" t="n">
        <x:f>MAX(MIN('詳細設定'!$D$15+0,1),0)</x:f>
        <x:v>0.4</x:v>
      </x:c>
      <x:c r="G471" s="563" t="n">
        <x:f>'_計算月次'!$J$15</x:f>
        <x:v>398.45169764745054</x:v>
      </x:c>
      <x:c r="H471" s="563" t="n">
        <x:f>'_計算月次'!$K$15</x:f>
        <x:v>360</x:v>
      </x:c>
      <x:c r="I471" s="563" t="n">
        <x:f>(1-MAX(MIN('詳細設定'!$D$16,0.999999),0))^(B471-1)</x:f>
        <x:v>1</x:v>
      </x:c>
      <x:c r="J471" s="563" t="n">
        <x:f>MAX(G471*D471*I471,0)</x:f>
        <x:v>398.45169764745054</x:v>
      </x:c>
      <x:c r="K471" s="563" t="n">
        <x:f>MAX(MIN(J471*F471,H471),0)</x:f>
        <x:v>159.38067905898023</x:v>
      </x:c>
      <x:c r="L471" s="563" t="n">
        <x:f>MAX(J471-K471,0)</x:f>
        <x:v>239.0710185884703</x:v>
      </x:c>
      <x:c r="M471" s="185" t="n">
        <x:f>MAX('詳細設定'!$D$6,0)*(1+'詳細設定'!$D$21)^(B471-1)</x:f>
        <x:v>41.865161649033276</x:v>
      </x:c>
      <x:c r="N471" s="185" t="n">
        <x:f>IF(B471&lt;=MAX(MIN('詳細設定'!$D$8,20),0),MAX('詳細設定'!$D$7,0),IF(B471&lt;=MAX(MIN('詳細設定'!$D$10,20),0),MAX('詳細設定'!$D$9,0),MAX('詳細設定'!$D$11,0)))</x:f>
        <x:v>8.3</x:v>
      </x:c>
      <x:c r="O471" s="190" t="n">
        <x:f>K471*M471</x:f>
        <x:v>6672.4978925369005</x:v>
      </x:c>
      <x:c r="P471" s="190" t="n">
        <x:f>L471*N471</x:f>
        <x:v>1984.2894542843037</x:v>
      </x:c>
      <x:c r="Q471" s="190" t="n">
        <x:f>O471+P471</x:f>
        <x:v>8656.787346821204</x:v>
      </x:c>
      <x:c r="R471" s="196" t="n">
        <x:f>J471-K471-L471</x:f>
        <x:v>0</x:v>
      </x:c>
    </x:row>
    <x:row r="472">
      <x:c r="A472" s="20" t="str">
        <x:v>標準</x:v>
      </x:c>
      <x:c r="B472" s="20" t="n">
        <x:v>19</x:v>
      </x:c>
      <x:c r="C472" s="20" t="n">
        <x:v>12</x:v>
      </x:c>
      <x:c r="D472" s="189" t="n">
        <x:v>1</x:v>
      </x:c>
      <x:c r="E472" s="189" t="n">
        <x:v>1</x:v>
      </x:c>
      <x:c r="F472" s="189" t="n">
        <x:f>MAX(MIN('詳細設定'!$D$15+0,1),0)</x:f>
        <x:v>0.4</x:v>
      </x:c>
      <x:c r="G472" s="563" t="n">
        <x:f>'_計算月次'!$J$16</x:f>
        <x:v>443.97248688000184</x:v>
      </x:c>
      <x:c r="H472" s="563" t="n">
        <x:f>'_計算月次'!$K$16</x:f>
        <x:v>405</x:v>
      </x:c>
      <x:c r="I472" s="563" t="n">
        <x:f>(1-MAX(MIN('詳細設定'!$D$16,0.999999),0))^(B472-1)</x:f>
        <x:v>1</x:v>
      </x:c>
      <x:c r="J472" s="563" t="n">
        <x:f>MAX(G472*D472*I472,0)</x:f>
        <x:v>443.97248688000184</x:v>
      </x:c>
      <x:c r="K472" s="563" t="n">
        <x:f>MAX(MIN(J472*F472,H472),0)</x:f>
        <x:v>177.58899475200076</x:v>
      </x:c>
      <x:c r="L472" s="563" t="n">
        <x:f>MAX(J472-K472,0)</x:f>
        <x:v>266.3834921280011</x:v>
      </x:c>
      <x:c r="M472" s="185" t="n">
        <x:f>MAX('詳細設定'!$D$6,0)*(1+'詳細設定'!$D$21)^(B472-1)</x:f>
        <x:v>41.865161649033276</x:v>
      </x:c>
      <x:c r="N472" s="185" t="n">
        <x:f>IF(B472&lt;=MAX(MIN('詳細設定'!$D$8,20),0),MAX('詳細設定'!$D$7,0),IF(B472&lt;=MAX(MIN('詳細設定'!$D$10,20),0),MAX('詳細設定'!$D$9,0),MAX('詳細設定'!$D$11,0)))</x:f>
        <x:v>8.3</x:v>
      </x:c>
      <x:c r="O472" s="190" t="n">
        <x:f>K472*M472</x:f>
        <x:v>7434.791972381834</x:v>
      </x:c>
      <x:c r="P472" s="190" t="n">
        <x:f>L472*N472</x:f>
        <x:v>2210.9829846624093</x:v>
      </x:c>
      <x:c r="Q472" s="190" t="n">
        <x:f>O472+P472</x:f>
        <x:v>9645.774957044243</x:v>
      </x:c>
      <x:c r="R472" s="196" t="n">
        <x:f>J472-K472-L472</x:f>
        <x:v>0</x:v>
      </x:c>
    </x:row>
    <x:row r="473">
      <x:c r="A473" s="20" t="str">
        <x:v>標準</x:v>
      </x:c>
      <x:c r="B473" s="20" t="n">
        <x:v>20</x:v>
      </x:c>
      <x:c r="C473" s="20" t="n">
        <x:v>1</x:v>
      </x:c>
      <x:c r="D473" s="189" t="n">
        <x:v>1</x:v>
      </x:c>
      <x:c r="E473" s="189" t="n">
        <x:v>1</x:v>
      </x:c>
      <x:c r="F473" s="189" t="n">
        <x:f>MAX(MIN('詳細設定'!$D$15+0,1),0)</x:f>
        <x:v>0.4</x:v>
      </x:c>
      <x:c r="G473" s="563" t="n">
        <x:f>'_計算月次'!$J$5</x:f>
        <x:v>502.4147595742038</x:v>
      </x:c>
      <x:c r="H473" s="563" t="n">
        <x:f>'_計算月次'!$K$5</x:f>
        <x:v>450</x:v>
      </x:c>
      <x:c r="I473" s="563" t="n">
        <x:f>(1-MAX(MIN('詳細設定'!$D$16,0.999999),0))^(B473-1)</x:f>
        <x:v>1</x:v>
      </x:c>
      <x:c r="J473" s="563" t="n">
        <x:f>MAX(G473*D473*I473,0)</x:f>
        <x:v>502.4147595742038</x:v>
      </x:c>
      <x:c r="K473" s="563" t="n">
        <x:f>MAX(MIN(J473*F473,H473),0)</x:f>
        <x:v>200.96590382968154</x:v>
      </x:c>
      <x:c r="L473" s="563" t="n">
        <x:f>MAX(J473-K473,0)</x:f>
        <x:v>301.44885574452223</x:v>
      </x:c>
      <x:c r="M473" s="185" t="n">
        <x:f>MAX('詳細設定'!$D$6,0)*(1+'詳細設定'!$D$21)^(B473-1)</x:f>
        <x:v>42.283813265523605</x:v>
      </x:c>
      <x:c r="N473" s="185" t="n">
        <x:f>IF(B473&lt;=MAX(MIN('詳細設定'!$D$8,20),0),MAX('詳細設定'!$D$7,0),IF(B473&lt;=MAX(MIN('詳細設定'!$D$10,20),0),MAX('詳細設定'!$D$9,0),MAX('詳細設定'!$D$11,0)))</x:f>
        <x:v>8.3</x:v>
      </x:c>
      <x:c r="O473" s="190" t="n">
        <x:f>K473*M473</x:f>
        <x:v>8497.60475027143</x:v>
      </x:c>
      <x:c r="P473" s="190" t="n">
        <x:f>L473*N473</x:f>
        <x:v>2502.025502679535</x:v>
      </x:c>
      <x:c r="Q473" s="190" t="n">
        <x:f>O473+P473</x:f>
        <x:v>10999.630252950965</x:v>
      </x:c>
      <x:c r="R473" s="196" t="n">
        <x:f>J473-K473-L473</x:f>
        <x:v>0</x:v>
      </x:c>
    </x:row>
    <x:row r="474">
      <x:c r="A474" s="20" t="str">
        <x:v>標準</x:v>
      </x:c>
      <x:c r="B474" s="20" t="n">
        <x:v>20</x:v>
      </x:c>
      <x:c r="C474" s="20" t="n">
        <x:v>2</x:v>
      </x:c>
      <x:c r="D474" s="189" t="n">
        <x:v>1</x:v>
      </x:c>
      <x:c r="E474" s="189" t="n">
        <x:v>1</x:v>
      </x:c>
      <x:c r="F474" s="189" t="n">
        <x:f>MAX(MIN('詳細設定'!$D$15+0,1),0)</x:f>
        <x:v>0.4</x:v>
      </x:c>
      <x:c r="G474" s="563" t="n">
        <x:f>'_計算月次'!$J$6</x:f>
        <x:v>472.4508339500229</x:v>
      </x:c>
      <x:c r="H474" s="563" t="n">
        <x:f>'_計算月次'!$K$6</x:f>
        <x:v>405</x:v>
      </x:c>
      <x:c r="I474" s="563" t="n">
        <x:f>(1-MAX(MIN('詳細設定'!$D$16,0.999999),0))^(B474-1)</x:f>
        <x:v>1</x:v>
      </x:c>
      <x:c r="J474" s="563" t="n">
        <x:f>MAX(G474*D474*I474,0)</x:f>
        <x:v>472.4508339500229</x:v>
      </x:c>
      <x:c r="K474" s="563" t="n">
        <x:f>MAX(MIN(J474*F474,H474),0)</x:f>
        <x:v>188.9803335800092</x:v>
      </x:c>
      <x:c r="L474" s="563" t="n">
        <x:f>MAX(J474-K474,0)</x:f>
        <x:v>283.4705003700137</x:v>
      </x:c>
      <x:c r="M474" s="185" t="n">
        <x:f>MAX('詳細設定'!$D$6,0)*(1+'詳細設定'!$D$21)^(B474-1)</x:f>
        <x:v>42.283813265523605</x:v>
      </x:c>
      <x:c r="N474" s="185" t="n">
        <x:f>IF(B474&lt;=MAX(MIN('詳細設定'!$D$8,20),0),MAX('詳細設定'!$D$7,0),IF(B474&lt;=MAX(MIN('詳細設定'!$D$10,20),0),MAX('詳細設定'!$D$9,0),MAX('詳細設定'!$D$11,0)))</x:f>
        <x:v>8.3</x:v>
      </x:c>
      <x:c r="O474" s="190" t="n">
        <x:f>K474*M474</x:f>
        <x:v>7990.809135953468</x:v>
      </x:c>
      <x:c r="P474" s="190" t="n">
        <x:f>L474*N474</x:f>
        <x:v>2352.805153071114</x:v>
      </x:c>
      <x:c r="Q474" s="190" t="n">
        <x:f>O474+P474</x:f>
        <x:v>10343.614289024583</x:v>
      </x:c>
      <x:c r="R474" s="196" t="n">
        <x:f>J474-K474-L474</x:f>
        <x:v>0</x:v>
      </x:c>
    </x:row>
    <x:row r="475">
      <x:c r="A475" s="20" t="str">
        <x:v>標準</x:v>
      </x:c>
      <x:c r="B475" s="20" t="n">
        <x:v>20</x:v>
      </x:c>
      <x:c r="C475" s="20" t="n">
        <x:v>3</x:v>
      </x:c>
      <x:c r="D475" s="189" t="n">
        <x:v>1</x:v>
      </x:c>
      <x:c r="E475" s="189" t="n">
        <x:v>1</x:v>
      </x:c>
      <x:c r="F475" s="189" t="n">
        <x:f>MAX(MIN('詳細設定'!$D$15+0,1),0)</x:f>
        <x:v>0.4</x:v>
      </x:c>
      <x:c r="G475" s="563" t="n">
        <x:f>'_計算月次'!$J$7</x:f>
        <x:v>548.3418864753118</x:v>
      </x:c>
      <x:c r="H475" s="563" t="n">
        <x:f>'_計算月次'!$K$7</x:f>
        <x:v>360</x:v>
      </x:c>
      <x:c r="I475" s="563" t="n">
        <x:f>(1-MAX(MIN('詳細設定'!$D$16,0.999999),0))^(B475-1)</x:f>
        <x:v>1</x:v>
      </x:c>
      <x:c r="J475" s="563" t="n">
        <x:f>MAX(G475*D475*I475,0)</x:f>
        <x:v>548.3418864753118</x:v>
      </x:c>
      <x:c r="K475" s="563" t="n">
        <x:f>MAX(MIN(J475*F475,H475),0)</x:f>
        <x:v>219.3367545901247</x:v>
      </x:c>
      <x:c r="L475" s="563" t="n">
        <x:f>MAX(J475-K475,0)</x:f>
        <x:v>329.00513188518704</x:v>
      </x:c>
      <x:c r="M475" s="185" t="n">
        <x:f>MAX('詳細設定'!$D$6,0)*(1+'詳細設定'!$D$21)^(B475-1)</x:f>
        <x:v>42.283813265523605</x:v>
      </x:c>
      <x:c r="N475" s="185" t="n">
        <x:f>IF(B475&lt;=MAX(MIN('詳細設定'!$D$8,20),0),MAX('詳細設定'!$D$7,0),IF(B475&lt;=MAX(MIN('詳細設定'!$D$10,20),0),MAX('詳細設定'!$D$9,0),MAX('詳細設定'!$D$11,0)))</x:f>
        <x:v>8.3</x:v>
      </x:c>
      <x:c r="O475" s="190" t="n">
        <x:f>K475*M475</x:f>
        <x:v>9274.394373354811</x:v>
      </x:c>
      <x:c r="P475" s="190" t="n">
        <x:f>L475*N475</x:f>
        <x:v>2730.7425946470526</x:v>
      </x:c>
      <x:c r="Q475" s="190" t="n">
        <x:f>O475+P475</x:f>
        <x:v>12005.136968001863</x:v>
      </x:c>
      <x:c r="R475" s="196" t="n">
        <x:f>J475-K475-L475</x:f>
        <x:v>0</x:v>
      </x:c>
    </x:row>
    <x:row r="476">
      <x:c r="A476" s="20" t="str">
        <x:v>標準</x:v>
      </x:c>
      <x:c r="B476" s="20" t="n">
        <x:v>20</x:v>
      </x:c>
      <x:c r="C476" s="20" t="n">
        <x:v>4</x:v>
      </x:c>
      <x:c r="D476" s="189" t="n">
        <x:v>1</x:v>
      </x:c>
      <x:c r="E476" s="189" t="n">
        <x:v>1</x:v>
      </x:c>
      <x:c r="F476" s="189" t="n">
        <x:f>MAX(MIN('詳細設定'!$D$15+0,1),0)</x:f>
        <x:v>0.4</x:v>
      </x:c>
      <x:c r="G476" s="563" t="n">
        <x:f>'_計算月次'!$J$8</x:f>
        <x:v>548.3944393749554</x:v>
      </x:c>
      <x:c r="H476" s="563" t="n">
        <x:f>'_計算月次'!$K$8</x:f>
        <x:v>315.00000000000006</x:v>
      </x:c>
      <x:c r="I476" s="563" t="n">
        <x:f>(1-MAX(MIN('詳細設定'!$D$16,0.999999),0))^(B476-1)</x:f>
        <x:v>1</x:v>
      </x:c>
      <x:c r="J476" s="563" t="n">
        <x:f>MAX(G476*D476*I476,0)</x:f>
        <x:v>548.3944393749554</x:v>
      </x:c>
      <x:c r="K476" s="563" t="n">
        <x:f>MAX(MIN(J476*F476,H476),0)</x:f>
        <x:v>219.35777574998215</x:v>
      </x:c>
      <x:c r="L476" s="563" t="n">
        <x:f>MAX(J476-K476,0)</x:f>
        <x:v>329.03666362497324</x:v>
      </x:c>
      <x:c r="M476" s="185" t="n">
        <x:f>MAX('詳細設定'!$D$6,0)*(1+'詳細設定'!$D$21)^(B476-1)</x:f>
        <x:v>42.283813265523605</x:v>
      </x:c>
      <x:c r="N476" s="185" t="n">
        <x:f>IF(B476&lt;=MAX(MIN('詳細設定'!$D$8,20),0),MAX('詳細設定'!$D$7,0),IF(B476&lt;=MAX(MIN('詳細設定'!$D$10,20),0),MAX('詳細設定'!$D$9,0),MAX('詳細設定'!$D$11,0)))</x:f>
        <x:v>8.3</x:v>
      </x:c>
      <x:c r="O476" s="190" t="n">
        <x:f>K476*M476</x:f>
        <x:v>9275.283228152848</x:v>
      </x:c>
      <x:c r="P476" s="190" t="n">
        <x:f>L476*N476</x:f>
        <x:v>2731.0043080872783</x:v>
      </x:c>
      <x:c r="Q476" s="190" t="n">
        <x:f>O476+P476</x:f>
        <x:v>12006.287536240126</x:v>
      </x:c>
      <x:c r="R476" s="196" t="n">
        <x:f>J476-K476-L476</x:f>
        <x:v>0</x:v>
      </x:c>
    </x:row>
    <x:row r="477">
      <x:c r="A477" s="20" t="str">
        <x:v>標準</x:v>
      </x:c>
      <x:c r="B477" s="20" t="n">
        <x:v>20</x:v>
      </x:c>
      <x:c r="C477" s="20" t="n">
        <x:v>5</x:v>
      </x:c>
      <x:c r="D477" s="189" t="n">
        <x:v>1</x:v>
      </x:c>
      <x:c r="E477" s="189" t="n">
        <x:v>1</x:v>
      </x:c>
      <x:c r="F477" s="189" t="n">
        <x:f>MAX(MIN('詳細設定'!$D$15+0,1),0)</x:f>
        <x:v>0.4</x:v>
      </x:c>
      <x:c r="G477" s="563" t="n">
        <x:f>'_計算月次'!$J$9</x:f>
        <x:v>552.2367574934775</x:v>
      </x:c>
      <x:c r="H477" s="563" t="n">
        <x:f>'_計算月次'!$K$9</x:f>
        <x:v>315.00000000000006</x:v>
      </x:c>
      <x:c r="I477" s="563" t="n">
        <x:f>(1-MAX(MIN('詳細設定'!$D$16,0.999999),0))^(B477-1)</x:f>
        <x:v>1</x:v>
      </x:c>
      <x:c r="J477" s="563" t="n">
        <x:f>MAX(G477*D477*I477,0)</x:f>
        <x:v>552.2367574934775</x:v>
      </x:c>
      <x:c r="K477" s="563" t="n">
        <x:f>MAX(MIN(J477*F477,H477),0)</x:f>
        <x:v>220.89470299739102</x:v>
      </x:c>
      <x:c r="L477" s="563" t="n">
        <x:f>MAX(J477-K477,0)</x:f>
        <x:v>331.34205449608646</x:v>
      </x:c>
      <x:c r="M477" s="185" t="n">
        <x:f>MAX('詳細設定'!$D$6,0)*(1+'詳細設定'!$D$21)^(B477-1)</x:f>
        <x:v>42.283813265523605</x:v>
      </x:c>
      <x:c r="N477" s="185" t="n">
        <x:f>IF(B477&lt;=MAX(MIN('詳細設定'!$D$8,20),0),MAX('詳細設定'!$D$7,0),IF(B477&lt;=MAX(MIN('詳細設定'!$D$10,20),0),MAX('詳細設定'!$D$9,0),MAX('詳細設定'!$D$11,0)))</x:f>
        <x:v>8.3</x:v>
      </x:c>
      <x:c r="O477" s="190" t="n">
        <x:f>K477*M477</x:f>
        <x:v>9340.27037288498</x:v>
      </x:c>
      <x:c r="P477" s="190" t="n">
        <x:f>L477*N477</x:f>
        <x:v>2750.139052317518</x:v>
      </x:c>
      <x:c r="Q477" s="190" t="n">
        <x:f>O477+P477</x:f>
        <x:v>12090.409425202497</x:v>
      </x:c>
      <x:c r="R477" s="196" t="n">
        <x:f>J477-K477-L477</x:f>
        <x:v>0</x:v>
      </x:c>
    </x:row>
    <x:row r="478">
      <x:c r="A478" s="20" t="str">
        <x:v>標準</x:v>
      </x:c>
      <x:c r="B478" s="20" t="n">
        <x:v>20</x:v>
      </x:c>
      <x:c r="C478" s="20" t="n">
        <x:v>6</x:v>
      </x:c>
      <x:c r="D478" s="189" t="n">
        <x:v>1</x:v>
      </x:c>
      <x:c r="E478" s="189" t="n">
        <x:v>1</x:v>
      </x:c>
      <x:c r="F478" s="189" t="n">
        <x:f>MAX(MIN('詳細設定'!$D$15+0,1),0)</x:f>
        <x:v>0.4</x:v>
      </x:c>
      <x:c r="G478" s="563" t="n">
        <x:f>'_計算月次'!$J$10</x:f>
        <x:v>448.7994857612148</x:v>
      </x:c>
      <x:c r="H478" s="563" t="n">
        <x:f>'_計算月次'!$K$10</x:f>
        <x:v>360</x:v>
      </x:c>
      <x:c r="I478" s="563" t="n">
        <x:f>(1-MAX(MIN('詳細設定'!$D$16,0.999999),0))^(B478-1)</x:f>
        <x:v>1</x:v>
      </x:c>
      <x:c r="J478" s="563" t="n">
        <x:f>MAX(G478*D478*I478,0)</x:f>
        <x:v>448.7994857612148</x:v>
      </x:c>
      <x:c r="K478" s="563" t="n">
        <x:f>MAX(MIN(J478*F478,H478),0)</x:f>
        <x:v>179.5197943044859</x:v>
      </x:c>
      <x:c r="L478" s="563" t="n">
        <x:f>MAX(J478-K478,0)</x:f>
        <x:v>269.27969145672887</x:v>
      </x:c>
      <x:c r="M478" s="185" t="n">
        <x:f>MAX('詳細設定'!$D$6,0)*(1+'詳細設定'!$D$21)^(B478-1)</x:f>
        <x:v>42.283813265523605</x:v>
      </x:c>
      <x:c r="N478" s="185" t="n">
        <x:f>IF(B478&lt;=MAX(MIN('詳細設定'!$D$8,20),0),MAX('詳細設定'!$D$7,0),IF(B478&lt;=MAX(MIN('詳細設定'!$D$10,20),0),MAX('詳細設定'!$D$9,0),MAX('詳細設定'!$D$11,0)))</x:f>
        <x:v>8.3</x:v>
      </x:c>
      <x:c r="O478" s="190" t="n">
        <x:f>K478*M478</x:f>
        <x:v>7590.78145983609</x:v>
      </x:c>
      <x:c r="P478" s="190" t="n">
        <x:f>L478*N478</x:f>
        <x:v>2235.02143909085</x:v>
      </x:c>
      <x:c r="Q478" s="190" t="n">
        <x:f>O478+P478</x:f>
        <x:v>9825.80289892694</x:v>
      </x:c>
      <x:c r="R478" s="196" t="n">
        <x:f>J478-K478-L478</x:f>
        <x:v>0</x:v>
      </x:c>
    </x:row>
    <x:row r="479">
      <x:c r="A479" s="20" t="str">
        <x:v>標準</x:v>
      </x:c>
      <x:c r="B479" s="20" t="n">
        <x:v>20</x:v>
      </x:c>
      <x:c r="C479" s="20" t="n">
        <x:v>7</x:v>
      </x:c>
      <x:c r="D479" s="189" t="n">
        <x:v>1</x:v>
      </x:c>
      <x:c r="E479" s="189" t="n">
        <x:v>1</x:v>
      </x:c>
      <x:c r="F479" s="189" t="n">
        <x:f>MAX(MIN('詳細設定'!$D$15+0,1),0)</x:f>
        <x:v>0.4</x:v>
      </x:c>
      <x:c r="G479" s="563" t="n">
        <x:f>'_計算月次'!$J$11</x:f>
        <x:v>476.0181638067866</x:v>
      </x:c>
      <x:c r="H479" s="563" t="n">
        <x:f>'_計算月次'!$K$11</x:f>
        <x:v>405</x:v>
      </x:c>
      <x:c r="I479" s="563" t="n">
        <x:f>(1-MAX(MIN('詳細設定'!$D$16,0.999999),0))^(B479-1)</x:f>
        <x:v>1</x:v>
      </x:c>
      <x:c r="J479" s="563" t="n">
        <x:f>MAX(G479*D479*I479,0)</x:f>
        <x:v>476.0181638067866</x:v>
      </x:c>
      <x:c r="K479" s="563" t="n">
        <x:f>MAX(MIN(J479*F479,H479),0)</x:f>
        <x:v>190.40726552271465</x:v>
      </x:c>
      <x:c r="L479" s="563" t="n">
        <x:f>MAX(J479-K479,0)</x:f>
        <x:v>285.61089828407194</x:v>
      </x:c>
      <x:c r="M479" s="185" t="n">
        <x:f>MAX('詳細設定'!$D$6,0)*(1+'詳細設定'!$D$21)^(B479-1)</x:f>
        <x:v>42.283813265523605</x:v>
      </x:c>
      <x:c r="N479" s="185" t="n">
        <x:f>IF(B479&lt;=MAX(MIN('詳細設定'!$D$8,20),0),MAX('詳細設定'!$D$7,0),IF(B479&lt;=MAX(MIN('詳細設定'!$D$10,20),0),MAX('詳細設定'!$D$9,0),MAX('詳細設定'!$D$11,0)))</x:f>
        <x:v>8.3</x:v>
      </x:c>
      <x:c r="O479" s="190" t="n">
        <x:f>K479*M479</x:f>
        <x:v>8051.145259761437</x:v>
      </x:c>
      <x:c r="P479" s="190" t="n">
        <x:f>L479*N479</x:f>
        <x:v>2370.5704557577974</x:v>
      </x:c>
      <x:c r="Q479" s="190" t="n">
        <x:f>O479+P479</x:f>
        <x:v>10421.715715519234</x:v>
      </x:c>
      <x:c r="R479" s="196" t="n">
        <x:f>J479-K479-L479</x:f>
        <x:v>0</x:v>
      </x:c>
    </x:row>
    <x:row r="480">
      <x:c r="A480" s="20" t="str">
        <x:v>標準</x:v>
      </x:c>
      <x:c r="B480" s="20" t="n">
        <x:v>20</x:v>
      </x:c>
      <x:c r="C480" s="20" t="n">
        <x:v>8</x:v>
      </x:c>
      <x:c r="D480" s="189" t="n">
        <x:v>1</x:v>
      </x:c>
      <x:c r="E480" s="189" t="n">
        <x:v>1</x:v>
      </x:c>
      <x:c r="F480" s="189" t="n">
        <x:f>MAX(MIN('詳細設定'!$D$15+0,1),0)</x:f>
        <x:v>0.4</x:v>
      </x:c>
      <x:c r="G480" s="563" t="n">
        <x:f>'_計算月次'!$J$12</x:f>
        <x:v>528.6548067323699</x:v>
      </x:c>
      <x:c r="H480" s="563" t="n">
        <x:f>'_計算月次'!$K$12</x:f>
        <x:v>450</x:v>
      </x:c>
      <x:c r="I480" s="563" t="n">
        <x:f>(1-MAX(MIN('詳細設定'!$D$16,0.999999),0))^(B480-1)</x:f>
        <x:v>1</x:v>
      </x:c>
      <x:c r="J480" s="563" t="n">
        <x:f>MAX(G480*D480*I480,0)</x:f>
        <x:v>528.6548067323699</x:v>
      </x:c>
      <x:c r="K480" s="563" t="n">
        <x:f>MAX(MIN(J480*F480,H480),0)</x:f>
        <x:v>211.46192269294798</x:v>
      </x:c>
      <x:c r="L480" s="563" t="n">
        <x:f>MAX(J480-K480,0)</x:f>
        <x:v>317.192884039422</x:v>
      </x:c>
      <x:c r="M480" s="185" t="n">
        <x:f>MAX('詳細設定'!$D$6,0)*(1+'詳細設定'!$D$21)^(B480-1)</x:f>
        <x:v>42.283813265523605</x:v>
      </x:c>
      <x:c r="N480" s="185" t="n">
        <x:f>IF(B480&lt;=MAX(MIN('詳細設定'!$D$8,20),0),MAX('詳細設定'!$D$7,0),IF(B480&lt;=MAX(MIN('詳細設定'!$D$10,20),0),MAX('詳細設定'!$D$9,0),MAX('詳細設定'!$D$11,0)))</x:f>
        <x:v>8.3</x:v>
      </x:c>
      <x:c r="O480" s="190" t="n">
        <x:f>K480*M480</x:f>
        <x:v>8941.4164519172</x:v>
      </x:c>
      <x:c r="P480" s="190" t="n">
        <x:f>L480*N480</x:f>
        <x:v>2632.7009375272028</x:v>
      </x:c>
      <x:c r="Q480" s="190" t="n">
        <x:f>O480+P480</x:f>
        <x:v>11574.117389444404</x:v>
      </x:c>
      <x:c r="R480" s="196" t="n">
        <x:f>J480-K480-L480</x:f>
        <x:v>0</x:v>
      </x:c>
    </x:row>
    <x:row r="481">
      <x:c r="A481" s="20" t="str">
        <x:v>標準</x:v>
      </x:c>
      <x:c r="B481" s="20" t="n">
        <x:v>20</x:v>
      </x:c>
      <x:c r="C481" s="20" t="n">
        <x:v>9</x:v>
      </x:c>
      <x:c r="D481" s="189" t="n">
        <x:v>1</x:v>
      </x:c>
      <x:c r="E481" s="189" t="n">
        <x:v>1</x:v>
      </x:c>
      <x:c r="F481" s="189" t="n">
        <x:f>MAX(MIN('詳細設定'!$D$15+0,1),0)</x:f>
        <x:v>0.4</x:v>
      </x:c>
      <x:c r="G481" s="563" t="n">
        <x:f>'_計算月次'!$J$13</x:f>
        <x:v>436.37734765103465</x:v>
      </x:c>
      <x:c r="H481" s="563" t="n">
        <x:f>'_計算月次'!$K$13</x:f>
        <x:v>360</x:v>
      </x:c>
      <x:c r="I481" s="563" t="n">
        <x:f>(1-MAX(MIN('詳細設定'!$D$16,0.999999),0))^(B481-1)</x:f>
        <x:v>1</x:v>
      </x:c>
      <x:c r="J481" s="563" t="n">
        <x:f>MAX(G481*D481*I481,0)</x:f>
        <x:v>436.37734765103465</x:v>
      </x:c>
      <x:c r="K481" s="563" t="n">
        <x:f>MAX(MIN(J481*F481,H481),0)</x:f>
        <x:v>174.55093906041387</x:v>
      </x:c>
      <x:c r="L481" s="563" t="n">
        <x:f>MAX(J481-K481,0)</x:f>
        <x:v>261.82640859062076</x:v>
      </x:c>
      <x:c r="M481" s="185" t="n">
        <x:f>MAX('詳細設定'!$D$6,0)*(1+'詳細設定'!$D$21)^(B481-1)</x:f>
        <x:v>42.283813265523605</x:v>
      </x:c>
      <x:c r="N481" s="185" t="n">
        <x:f>IF(B481&lt;=MAX(MIN('詳細設定'!$D$8,20),0),MAX('詳細設定'!$D$7,0),IF(B481&lt;=MAX(MIN('詳細設定'!$D$10,20),0),MAX('詳細設定'!$D$9,0),MAX('詳細設定'!$D$11,0)))</x:f>
        <x:v>8.3</x:v>
      </x:c>
      <x:c r="O481" s="190" t="n">
        <x:f>K481*M481</x:f>
        <x:v>7380.67931255233</x:v>
      </x:c>
      <x:c r="P481" s="190" t="n">
        <x:f>L481*N481</x:f>
        <x:v>2173.1591913021525</x:v>
      </x:c>
      <x:c r="Q481" s="190" t="n">
        <x:f>O481+P481</x:f>
        <x:v>9553.838503854482</x:v>
      </x:c>
      <x:c r="R481" s="196" t="n">
        <x:f>J481-K481-L481</x:f>
        <x:v>0</x:v>
      </x:c>
    </x:row>
    <x:row r="482">
      <x:c r="A482" s="20" t="str">
        <x:v>標準</x:v>
      </x:c>
      <x:c r="B482" s="20" t="n">
        <x:v>20</x:v>
      </x:c>
      <x:c r="C482" s="20" t="n">
        <x:v>10</x:v>
      </x:c>
      <x:c r="D482" s="189" t="n">
        <x:v>1</x:v>
      </x:c>
      <x:c r="E482" s="189" t="n">
        <x:v>1</x:v>
      </x:c>
      <x:c r="F482" s="189" t="n">
        <x:f>MAX(MIN('詳細設定'!$D$15+0,1),0)</x:f>
        <x:v>0.4</x:v>
      </x:c>
      <x:c r="G482" s="563" t="n">
        <x:f>'_計算月次'!$J$14</x:f>
        <x:v>408.8269849869007</x:v>
      </x:c>
      <x:c r="H482" s="563" t="n">
        <x:f>'_計算月次'!$K$14</x:f>
        <x:v>315.00000000000006</x:v>
      </x:c>
      <x:c r="I482" s="563" t="n">
        <x:f>(1-MAX(MIN('詳細設定'!$D$16,0.999999),0))^(B482-1)</x:f>
        <x:v>1</x:v>
      </x:c>
      <x:c r="J482" s="563" t="n">
        <x:f>MAX(G482*D482*I482,0)</x:f>
        <x:v>408.8269849869007</x:v>
      </x:c>
      <x:c r="K482" s="563" t="n">
        <x:f>MAX(MIN(J482*F482,H482),0)</x:f>
        <x:v>163.5307939947603</x:v>
      </x:c>
      <x:c r="L482" s="563" t="n">
        <x:f>MAX(J482-K482,0)</x:f>
        <x:v>245.2961909921404</x:v>
      </x:c>
      <x:c r="M482" s="185" t="n">
        <x:f>MAX('詳細設定'!$D$6,0)*(1+'詳細設定'!$D$21)^(B482-1)</x:f>
        <x:v>42.283813265523605</x:v>
      </x:c>
      <x:c r="N482" s="185" t="n">
        <x:f>IF(B482&lt;=MAX(MIN('詳細設定'!$D$8,20),0),MAX('詳細設定'!$D$7,0),IF(B482&lt;=MAX(MIN('詳細設定'!$D$10,20),0),MAX('詳細設定'!$D$9,0),MAX('詳細設定'!$D$11,0)))</x:f>
        <x:v>8.3</x:v>
      </x:c>
      <x:c r="O482" s="190" t="n">
        <x:f>K482*M482</x:f>
        <x:v>6914.705556437253</x:v>
      </x:c>
      <x:c r="P482" s="190" t="n">
        <x:f>L482*N482</x:f>
        <x:v>2035.9583852347655</x:v>
      </x:c>
      <x:c r="Q482" s="190" t="n">
        <x:f>O482+P482</x:f>
        <x:v>8950.663941672019</x:v>
      </x:c>
      <x:c r="R482" s="196" t="n">
        <x:f>J482-K482-L482</x:f>
        <x:v>0</x:v>
      </x:c>
    </x:row>
    <x:row r="483">
      <x:c r="A483" s="20" t="str">
        <x:v>標準</x:v>
      </x:c>
      <x:c r="B483" s="20" t="n">
        <x:v>20</x:v>
      </x:c>
      <x:c r="C483" s="20" t="n">
        <x:v>11</x:v>
      </x:c>
      <x:c r="D483" s="189" t="n">
        <x:v>1</x:v>
      </x:c>
      <x:c r="E483" s="189" t="n">
        <x:v>1</x:v>
      </x:c>
      <x:c r="F483" s="189" t="n">
        <x:f>MAX(MIN('詳細設定'!$D$15+0,1),0)</x:f>
        <x:v>0.4</x:v>
      </x:c>
      <x:c r="G483" s="563" t="n">
        <x:f>'_計算月次'!$J$15</x:f>
        <x:v>398.45169764745054</x:v>
      </x:c>
      <x:c r="H483" s="563" t="n">
        <x:f>'_計算月次'!$K$15</x:f>
        <x:v>360</x:v>
      </x:c>
      <x:c r="I483" s="563" t="n">
        <x:f>(1-MAX(MIN('詳細設定'!$D$16,0.999999),0))^(B483-1)</x:f>
        <x:v>1</x:v>
      </x:c>
      <x:c r="J483" s="563" t="n">
        <x:f>MAX(G483*D483*I483,0)</x:f>
        <x:v>398.45169764745054</x:v>
      </x:c>
      <x:c r="K483" s="563" t="n">
        <x:f>MAX(MIN(J483*F483,H483),0)</x:f>
        <x:v>159.38067905898023</x:v>
      </x:c>
      <x:c r="L483" s="563" t="n">
        <x:f>MAX(J483-K483,0)</x:f>
        <x:v>239.0710185884703</x:v>
      </x:c>
      <x:c r="M483" s="185" t="n">
        <x:f>MAX('詳細設定'!$D$6,0)*(1+'詳細設定'!$D$21)^(B483-1)</x:f>
        <x:v>42.283813265523605</x:v>
      </x:c>
      <x:c r="N483" s="185" t="n">
        <x:f>IF(B483&lt;=MAX(MIN('詳細設定'!$D$8,20),0),MAX('詳細設定'!$D$7,0),IF(B483&lt;=MAX(MIN('詳細設定'!$D$10,20),0),MAX('詳細設定'!$D$9,0),MAX('詳細設定'!$D$11,0)))</x:f>
        <x:v>8.3</x:v>
      </x:c>
      <x:c r="O483" s="190" t="n">
        <x:f>K483*M483</x:f>
        <x:v>6739.222871462269</x:v>
      </x:c>
      <x:c r="P483" s="190" t="n">
        <x:f>L483*N483</x:f>
        <x:v>1984.2894542843037</x:v>
      </x:c>
      <x:c r="Q483" s="190" t="n">
        <x:f>O483+P483</x:f>
        <x:v>8723.512325746573</x:v>
      </x:c>
      <x:c r="R483" s="196" t="n">
        <x:f>J483-K483-L483</x:f>
        <x:v>0</x:v>
      </x:c>
    </x:row>
    <x:row r="484">
      <x:c r="A484" s="20" t="str">
        <x:v>標準</x:v>
      </x:c>
      <x:c r="B484" s="20" t="n">
        <x:v>20</x:v>
      </x:c>
      <x:c r="C484" s="20" t="n">
        <x:v>12</x:v>
      </x:c>
      <x:c r="D484" s="189" t="n">
        <x:v>1</x:v>
      </x:c>
      <x:c r="E484" s="189" t="n">
        <x:v>1</x:v>
      </x:c>
      <x:c r="F484" s="189" t="n">
        <x:f>MAX(MIN('詳細設定'!$D$15+0,1),0)</x:f>
        <x:v>0.4</x:v>
      </x:c>
      <x:c r="G484" s="563" t="n">
        <x:f>'_計算月次'!$J$16</x:f>
        <x:v>443.97248688000184</x:v>
      </x:c>
      <x:c r="H484" s="563" t="n">
        <x:f>'_計算月次'!$K$16</x:f>
        <x:v>405</x:v>
      </x:c>
      <x:c r="I484" s="563" t="n">
        <x:f>(1-MAX(MIN('詳細設定'!$D$16,0.999999),0))^(B484-1)</x:f>
        <x:v>1</x:v>
      </x:c>
      <x:c r="J484" s="563" t="n">
        <x:f>MAX(G484*D484*I484,0)</x:f>
        <x:v>443.97248688000184</x:v>
      </x:c>
      <x:c r="K484" s="563" t="n">
        <x:f>MAX(MIN(J484*F484,H484),0)</x:f>
        <x:v>177.58899475200076</x:v>
      </x:c>
      <x:c r="L484" s="563" t="n">
        <x:f>MAX(J484-K484,0)</x:f>
        <x:v>266.3834921280011</x:v>
      </x:c>
      <x:c r="M484" s="185" t="n">
        <x:f>MAX('詳細設定'!$D$6,0)*(1+'詳細設定'!$D$21)^(B484-1)</x:f>
        <x:v>42.283813265523605</x:v>
      </x:c>
      <x:c r="N484" s="185" t="n">
        <x:f>IF(B484&lt;=MAX(MIN('詳細設定'!$D$8,20),0),MAX('詳細設定'!$D$7,0),IF(B484&lt;=MAX(MIN('詳細設定'!$D$10,20),0),MAX('詳細設定'!$D$9,0),MAX('詳細設定'!$D$11,0)))</x:f>
        <x:v>8.3</x:v>
      </x:c>
      <x:c r="O484" s="190" t="n">
        <x:f>K484*M484</x:f>
        <x:v>7509.139892105652</x:v>
      </x:c>
      <x:c r="P484" s="190" t="n">
        <x:f>L484*N484</x:f>
        <x:v>2210.9829846624093</x:v>
      </x:c>
      <x:c r="Q484" s="190" t="n">
        <x:f>O484+P484</x:f>
        <x:v>9720.12287676806</x:v>
      </x:c>
      <x:c r="R484" s="196" t="n">
        <x:f>J484-K484-L484</x:f>
        <x:v>0</x:v>
      </x:c>
    </x:row>
    <x:row r="485">
      <x:c r="A485" s="20" t="str">
        <x:v>上振れ</x:v>
      </x:c>
      <x:c r="B485" s="20" t="n">
        <x:v>1</x:v>
      </x:c>
      <x:c r="C485" s="20" t="n">
        <x:v>1</x:v>
      </x:c>
      <x:c r="D485" s="189" t="n">
        <x:v>1.1</x:v>
      </x:c>
      <x:c r="E485" s="189" t="n">
        <x:v>0.9</x:v>
      </x:c>
      <x:c r="F485" s="189" t="n">
        <x:f>MAX(MIN('詳細設定'!$D$15+0.05,1),0)</x:f>
        <x:v>0.45</x:v>
      </x:c>
      <x:c r="G485" s="563" t="n">
        <x:f>'_計算月次'!$J$5</x:f>
        <x:v>502.4147595742038</x:v>
      </x:c>
      <x:c r="H485" s="563" t="n">
        <x:f>'_計算月次'!$K$5</x:f>
        <x:v>450</x:v>
      </x:c>
      <x:c r="I485" s="563" t="n">
        <x:f>(1-MAX(MIN('詳細設定'!$D$16,0.999999),0))^(B485-1)</x:f>
        <x:v>1</x:v>
      </x:c>
      <x:c r="J485" s="563" t="n">
        <x:f>MAX(G485*D485*I485,0)</x:f>
        <x:v>552.6562355316242</x:v>
      </x:c>
      <x:c r="K485" s="563" t="n">
        <x:f>MAX(MIN(J485*F485,H485),0)</x:f>
        <x:v>248.69530598923092</x:v>
      </x:c>
      <x:c r="L485" s="563" t="n">
        <x:f>MAX(J485-K485,0)</x:f>
        <x:v>303.96092954239333</x:v>
      </x:c>
      <x:c r="M485" s="185" t="n">
        <x:f>MAX('詳細設定'!$D$6,0)*(1+'詳細設定'!$D$21)^(B485-1)</x:f>
        <x:v>35</x:v>
      </x:c>
      <x:c r="N485" s="185" t="n">
        <x:f>IF(B485&lt;=MAX(MIN('詳細設定'!$D$8,20),0),MAX('詳細設定'!$D$7,0),IF(B485&lt;=MAX(MIN('詳細設定'!$D$10,20),0),MAX('詳細設定'!$D$9,0),MAX('詳細設定'!$D$11,0)))</x:f>
        <x:v>24</x:v>
      </x:c>
      <x:c r="O485" s="190" t="n">
        <x:f>K485*M485</x:f>
        <x:v>8704.335709623083</x:v>
      </x:c>
      <x:c r="P485" s="190" t="n">
        <x:f>L485*N485</x:f>
        <x:v>7295.0623090174395</x:v>
      </x:c>
      <x:c r="Q485" s="190" t="n">
        <x:f>O485+P485</x:f>
        <x:v>15999.398018640522</x:v>
      </x:c>
      <x:c r="R485" s="196" t="n">
        <x:f>J485-K485-L485</x:f>
        <x:v>0</x:v>
      </x:c>
    </x:row>
    <x:row r="486">
      <x:c r="A486" s="20" t="str">
        <x:v>上振れ</x:v>
      </x:c>
      <x:c r="B486" s="20" t="n">
        <x:v>1</x:v>
      </x:c>
      <x:c r="C486" s="20" t="n">
        <x:v>2</x:v>
      </x:c>
      <x:c r="D486" s="189" t="n">
        <x:v>1.1</x:v>
      </x:c>
      <x:c r="E486" s="189" t="n">
        <x:v>0.9</x:v>
      </x:c>
      <x:c r="F486" s="189" t="n">
        <x:f>MAX(MIN('詳細設定'!$D$15+0.05,1),0)</x:f>
        <x:v>0.45</x:v>
      </x:c>
      <x:c r="G486" s="563" t="n">
        <x:f>'_計算月次'!$J$6</x:f>
        <x:v>472.4508339500229</x:v>
      </x:c>
      <x:c r="H486" s="563" t="n">
        <x:f>'_計算月次'!$K$6</x:f>
        <x:v>405</x:v>
      </x:c>
      <x:c r="I486" s="563" t="n">
        <x:f>(1-MAX(MIN('詳細設定'!$D$16,0.999999),0))^(B486-1)</x:f>
        <x:v>1</x:v>
      </x:c>
      <x:c r="J486" s="563" t="n">
        <x:f>MAX(G486*D486*I486,0)</x:f>
        <x:v>519.6959173450252</x:v>
      </x:c>
      <x:c r="K486" s="563" t="n">
        <x:f>MAX(MIN(J486*F486,H486),0)</x:f>
        <x:v>233.86316280526137</x:v>
      </x:c>
      <x:c r="L486" s="563" t="n">
        <x:f>MAX(J486-K486,0)</x:f>
        <x:v>285.83275453976387</x:v>
      </x:c>
      <x:c r="M486" s="185" t="n">
        <x:f>MAX('詳細設定'!$D$6,0)*(1+'詳細設定'!$D$21)^(B486-1)</x:f>
        <x:v>35</x:v>
      </x:c>
      <x:c r="N486" s="185" t="n">
        <x:f>IF(B486&lt;=MAX(MIN('詳細設定'!$D$8,20),0),MAX('詳細設定'!$D$7,0),IF(B486&lt;=MAX(MIN('詳細設定'!$D$10,20),0),MAX('詳細設定'!$D$9,0),MAX('詳細設定'!$D$11,0)))</x:f>
        <x:v>24</x:v>
      </x:c>
      <x:c r="O486" s="190" t="n">
        <x:f>K486*M486</x:f>
        <x:v>8185.210698184148</x:v>
      </x:c>
      <x:c r="P486" s="190" t="n">
        <x:f>L486*N486</x:f>
        <x:v>6859.986108954333</x:v>
      </x:c>
      <x:c r="Q486" s="190" t="n">
        <x:f>O486+P486</x:f>
        <x:v>15045.19680713848</x:v>
      </x:c>
      <x:c r="R486" s="196" t="n">
        <x:f>J486-K486-L486</x:f>
        <x:v>0</x:v>
      </x:c>
    </x:row>
    <x:row r="487">
      <x:c r="A487" s="20" t="str">
        <x:v>上振れ</x:v>
      </x:c>
      <x:c r="B487" s="20" t="n">
        <x:v>1</x:v>
      </x:c>
      <x:c r="C487" s="20" t="n">
        <x:v>3</x:v>
      </x:c>
      <x:c r="D487" s="189" t="n">
        <x:v>1.1</x:v>
      </x:c>
      <x:c r="E487" s="189" t="n">
        <x:v>0.9</x:v>
      </x:c>
      <x:c r="F487" s="189" t="n">
        <x:f>MAX(MIN('詳細設定'!$D$15+0.05,1),0)</x:f>
        <x:v>0.45</x:v>
      </x:c>
      <x:c r="G487" s="563" t="n">
        <x:f>'_計算月次'!$J$7</x:f>
        <x:v>548.3418864753118</x:v>
      </x:c>
      <x:c r="H487" s="563" t="n">
        <x:f>'_計算月次'!$K$7</x:f>
        <x:v>360</x:v>
      </x:c>
      <x:c r="I487" s="563" t="n">
        <x:f>(1-MAX(MIN('詳細設定'!$D$16,0.999999),0))^(B487-1)</x:f>
        <x:v>1</x:v>
      </x:c>
      <x:c r="J487" s="563" t="n">
        <x:f>MAX(G487*D487*I487,0)</x:f>
        <x:v>603.176075122843</x:v>
      </x:c>
      <x:c r="K487" s="563" t="n">
        <x:f>MAX(MIN(J487*F487,H487),0)</x:f>
        <x:v>271.42923380527935</x:v>
      </x:c>
      <x:c r="L487" s="563" t="n">
        <x:f>MAX(J487-K487,0)</x:f>
        <x:v>331.7468413175637</x:v>
      </x:c>
      <x:c r="M487" s="185" t="n">
        <x:f>MAX('詳細設定'!$D$6,0)*(1+'詳細設定'!$D$21)^(B487-1)</x:f>
        <x:v>35</x:v>
      </x:c>
      <x:c r="N487" s="185" t="n">
        <x:f>IF(B487&lt;=MAX(MIN('詳細設定'!$D$8,20),0),MAX('詳細設定'!$D$7,0),IF(B487&lt;=MAX(MIN('詳細設定'!$D$10,20),0),MAX('詳細設定'!$D$9,0),MAX('詳細設定'!$D$11,0)))</x:f>
        <x:v>24</x:v>
      </x:c>
      <x:c r="O487" s="190" t="n">
        <x:f>K487*M487</x:f>
        <x:v>9500.023183184778</x:v>
      </x:c>
      <x:c r="P487" s="190" t="n">
        <x:f>L487*N487</x:f>
        <x:v>7961.924191621529</x:v>
      </x:c>
      <x:c r="Q487" s="190" t="n">
        <x:f>O487+P487</x:f>
        <x:v>17461.947374806306</x:v>
      </x:c>
      <x:c r="R487" s="196" t="n">
        <x:f>J487-K487-L487</x:f>
        <x:v>0</x:v>
      </x:c>
    </x:row>
    <x:row r="488">
      <x:c r="A488" s="20" t="str">
        <x:v>上振れ</x:v>
      </x:c>
      <x:c r="B488" s="20" t="n">
        <x:v>1</x:v>
      </x:c>
      <x:c r="C488" s="20" t="n">
        <x:v>4</x:v>
      </x:c>
      <x:c r="D488" s="189" t="n">
        <x:v>1.1</x:v>
      </x:c>
      <x:c r="E488" s="189" t="n">
        <x:v>0.9</x:v>
      </x:c>
      <x:c r="F488" s="189" t="n">
        <x:f>MAX(MIN('詳細設定'!$D$15+0.05,1),0)</x:f>
        <x:v>0.45</x:v>
      </x:c>
      <x:c r="G488" s="563" t="n">
        <x:f>'_計算月次'!$J$8</x:f>
        <x:v>548.3944393749554</x:v>
      </x:c>
      <x:c r="H488" s="563" t="n">
        <x:f>'_計算月次'!$K$8</x:f>
        <x:v>315.00000000000006</x:v>
      </x:c>
      <x:c r="I488" s="563" t="n">
        <x:f>(1-MAX(MIN('詳細設定'!$D$16,0.999999),0))^(B488-1)</x:f>
        <x:v>1</x:v>
      </x:c>
      <x:c r="J488" s="563" t="n">
        <x:f>MAX(G488*D488*I488,0)</x:f>
        <x:v>603.233883312451</x:v>
      </x:c>
      <x:c r="K488" s="563" t="n">
        <x:f>MAX(MIN(J488*F488,H488),0)</x:f>
        <x:v>271.45524749060297</x:v>
      </x:c>
      <x:c r="L488" s="563" t="n">
        <x:f>MAX(J488-K488,0)</x:f>
        <x:v>331.778635821848</x:v>
      </x:c>
      <x:c r="M488" s="185" t="n">
        <x:f>MAX('詳細設定'!$D$6,0)*(1+'詳細設定'!$D$21)^(B488-1)</x:f>
        <x:v>35</x:v>
      </x:c>
      <x:c r="N488" s="185" t="n">
        <x:f>IF(B488&lt;=MAX(MIN('詳細設定'!$D$8,20),0),MAX('詳細設定'!$D$7,0),IF(B488&lt;=MAX(MIN('詳細設定'!$D$10,20),0),MAX('詳細設定'!$D$9,0),MAX('詳細設定'!$D$11,0)))</x:f>
        <x:v>24</x:v>
      </x:c>
      <x:c r="O488" s="190" t="n">
        <x:f>K488*M488</x:f>
        <x:v>9500.933662171105</x:v>
      </x:c>
      <x:c r="P488" s="190" t="n">
        <x:f>L488*N488</x:f>
        <x:v>7962.687259724353</x:v>
      </x:c>
      <x:c r="Q488" s="190" t="n">
        <x:f>O488+P488</x:f>
        <x:v>17463.620921895457</x:v>
      </x:c>
      <x:c r="R488" s="196" t="n">
        <x:f>J488-K488-L488</x:f>
        <x:v>0</x:v>
      </x:c>
    </x:row>
    <x:row r="489">
      <x:c r="A489" s="20" t="str">
        <x:v>上振れ</x:v>
      </x:c>
      <x:c r="B489" s="20" t="n">
        <x:v>1</x:v>
      </x:c>
      <x:c r="C489" s="20" t="n">
        <x:v>5</x:v>
      </x:c>
      <x:c r="D489" s="189" t="n">
        <x:v>1.1</x:v>
      </x:c>
      <x:c r="E489" s="189" t="n">
        <x:v>0.9</x:v>
      </x:c>
      <x:c r="F489" s="189" t="n">
        <x:f>MAX(MIN('詳細設定'!$D$15+0.05,1),0)</x:f>
        <x:v>0.45</x:v>
      </x:c>
      <x:c r="G489" s="563" t="n">
        <x:f>'_計算月次'!$J$9</x:f>
        <x:v>552.2367574934775</x:v>
      </x:c>
      <x:c r="H489" s="563" t="n">
        <x:f>'_計算月次'!$K$9</x:f>
        <x:v>315.00000000000006</x:v>
      </x:c>
      <x:c r="I489" s="563" t="n">
        <x:f>(1-MAX(MIN('詳細設定'!$D$16,0.999999),0))^(B489-1)</x:f>
        <x:v>1</x:v>
      </x:c>
      <x:c r="J489" s="563" t="n">
        <x:f>MAX(G489*D489*I489,0)</x:f>
        <x:v>607.4604332428253</x:v>
      </x:c>
      <x:c r="K489" s="563" t="n">
        <x:f>MAX(MIN(J489*F489,H489),0)</x:f>
        <x:v>273.3571949592714</x:v>
      </x:c>
      <x:c r="L489" s="563" t="n">
        <x:f>MAX(J489-K489,0)</x:f>
        <x:v>334.1032382835539</x:v>
      </x:c>
      <x:c r="M489" s="185" t="n">
        <x:f>MAX('詳細設定'!$D$6,0)*(1+'詳細設定'!$D$21)^(B489-1)</x:f>
        <x:v>35</x:v>
      </x:c>
      <x:c r="N489" s="185" t="n">
        <x:f>IF(B489&lt;=MAX(MIN('詳細設定'!$D$8,20),0),MAX('詳細設定'!$D$7,0),IF(B489&lt;=MAX(MIN('詳細設定'!$D$10,20),0),MAX('詳細設定'!$D$9,0),MAX('詳細設定'!$D$11,0)))</x:f>
        <x:v>24</x:v>
      </x:c>
      <x:c r="O489" s="190" t="n">
        <x:f>K489*M489</x:f>
        <x:v>9567.5018235745</x:v>
      </x:c>
      <x:c r="P489" s="190" t="n">
        <x:f>L489*N489</x:f>
        <x:v>8018.477718805293</x:v>
      </x:c>
      <x:c r="Q489" s="190" t="n">
        <x:f>O489+P489</x:f>
        <x:v>17585.97954237979</x:v>
      </x:c>
      <x:c r="R489" s="196" t="n">
        <x:f>J489-K489-L489</x:f>
        <x:v>0</x:v>
      </x:c>
    </x:row>
    <x:row r="490">
      <x:c r="A490" s="20" t="str">
        <x:v>上振れ</x:v>
      </x:c>
      <x:c r="B490" s="20" t="n">
        <x:v>1</x:v>
      </x:c>
      <x:c r="C490" s="20" t="n">
        <x:v>6</x:v>
      </x:c>
      <x:c r="D490" s="189" t="n">
        <x:v>1.1</x:v>
      </x:c>
      <x:c r="E490" s="189" t="n">
        <x:v>0.9</x:v>
      </x:c>
      <x:c r="F490" s="189" t="n">
        <x:f>MAX(MIN('詳細設定'!$D$15+0.05,1),0)</x:f>
        <x:v>0.45</x:v>
      </x:c>
      <x:c r="G490" s="563" t="n">
        <x:f>'_計算月次'!$J$10</x:f>
        <x:v>448.7994857612148</x:v>
      </x:c>
      <x:c r="H490" s="563" t="n">
        <x:f>'_計算月次'!$K$10</x:f>
        <x:v>360</x:v>
      </x:c>
      <x:c r="I490" s="563" t="n">
        <x:f>(1-MAX(MIN('詳細設定'!$D$16,0.999999),0))^(B490-1)</x:f>
        <x:v>1</x:v>
      </x:c>
      <x:c r="J490" s="563" t="n">
        <x:f>MAX(G490*D490*I490,0)</x:f>
        <x:v>493.6794343373363</x:v>
      </x:c>
      <x:c r="K490" s="563" t="n">
        <x:f>MAX(MIN(J490*F490,H490),0)</x:f>
        <x:v>222.15574545180135</x:v>
      </x:c>
      <x:c r="L490" s="563" t="n">
        <x:f>MAX(J490-K490,0)</x:f>
        <x:v>271.52368888553497</x:v>
      </x:c>
      <x:c r="M490" s="185" t="n">
        <x:f>MAX('詳細設定'!$D$6,0)*(1+'詳細設定'!$D$21)^(B490-1)</x:f>
        <x:v>35</x:v>
      </x:c>
      <x:c r="N490" s="185" t="n">
        <x:f>IF(B490&lt;=MAX(MIN('詳細設定'!$D$8,20),0),MAX('詳細設定'!$D$7,0),IF(B490&lt;=MAX(MIN('詳細設定'!$D$10,20),0),MAX('詳細設定'!$D$9,0),MAX('詳細設定'!$D$11,0)))</x:f>
        <x:v>24</x:v>
      </x:c>
      <x:c r="O490" s="190" t="n">
        <x:f>K490*M490</x:f>
        <x:v>7775.451090813047</x:v>
      </x:c>
      <x:c r="P490" s="190" t="n">
        <x:f>L490*N490</x:f>
        <x:v>6516.568533252839</x:v>
      </x:c>
      <x:c r="Q490" s="190" t="n">
        <x:f>O490+P490</x:f>
        <x:v>14292.019624065886</x:v>
      </x:c>
      <x:c r="R490" s="196" t="n">
        <x:f>J490-K490-L490</x:f>
        <x:v>0</x:v>
      </x:c>
    </x:row>
    <x:row r="491">
      <x:c r="A491" s="20" t="str">
        <x:v>上振れ</x:v>
      </x:c>
      <x:c r="B491" s="20" t="n">
        <x:v>1</x:v>
      </x:c>
      <x:c r="C491" s="20" t="n">
        <x:v>7</x:v>
      </x:c>
      <x:c r="D491" s="189" t="n">
        <x:v>1.1</x:v>
      </x:c>
      <x:c r="E491" s="189" t="n">
        <x:v>0.9</x:v>
      </x:c>
      <x:c r="F491" s="189" t="n">
        <x:f>MAX(MIN('詳細設定'!$D$15+0.05,1),0)</x:f>
        <x:v>0.45</x:v>
      </x:c>
      <x:c r="G491" s="563" t="n">
        <x:f>'_計算月次'!$J$11</x:f>
        <x:v>476.0181638067866</x:v>
      </x:c>
      <x:c r="H491" s="563" t="n">
        <x:f>'_計算月次'!$K$11</x:f>
        <x:v>405</x:v>
      </x:c>
      <x:c r="I491" s="563" t="n">
        <x:f>(1-MAX(MIN('詳細設定'!$D$16,0.999999),0))^(B491-1)</x:f>
        <x:v>1</x:v>
      </x:c>
      <x:c r="J491" s="563" t="n">
        <x:f>MAX(G491*D491*I491,0)</x:f>
        <x:v>523.6199801874653</x:v>
      </x:c>
      <x:c r="K491" s="563" t="n">
        <x:f>MAX(MIN(J491*F491,H491),0)</x:f>
        <x:v>235.6289910843594</x:v>
      </x:c>
      <x:c r="L491" s="563" t="n">
        <x:f>MAX(J491-K491,0)</x:f>
        <x:v>287.9909891031059</x:v>
      </x:c>
      <x:c r="M491" s="185" t="n">
        <x:f>MAX('詳細設定'!$D$6,0)*(1+'詳細設定'!$D$21)^(B491-1)</x:f>
        <x:v>35</x:v>
      </x:c>
      <x:c r="N491" s="185" t="n">
        <x:f>IF(B491&lt;=MAX(MIN('詳細設定'!$D$8,20),0),MAX('詳細設定'!$D$7,0),IF(B491&lt;=MAX(MIN('詳細設定'!$D$10,20),0),MAX('詳細設定'!$D$9,0),MAX('詳細設定'!$D$11,0)))</x:f>
        <x:v>24</x:v>
      </x:c>
      <x:c r="O491" s="190" t="n">
        <x:f>K491*M491</x:f>
        <x:v>8247.014687952578</x:v>
      </x:c>
      <x:c r="P491" s="190" t="n">
        <x:f>L491*N491</x:f>
        <x:v>6911.783738474542</x:v>
      </x:c>
      <x:c r="Q491" s="190" t="n">
        <x:f>O491+P491</x:f>
        <x:v>15158.79842642712</x:v>
      </x:c>
      <x:c r="R491" s="196" t="n">
        <x:f>J491-K491-L491</x:f>
        <x:v>0</x:v>
      </x:c>
    </x:row>
    <x:row r="492">
      <x:c r="A492" s="20" t="str">
        <x:v>上振れ</x:v>
      </x:c>
      <x:c r="B492" s="20" t="n">
        <x:v>1</x:v>
      </x:c>
      <x:c r="C492" s="20" t="n">
        <x:v>8</x:v>
      </x:c>
      <x:c r="D492" s="189" t="n">
        <x:v>1.1</x:v>
      </x:c>
      <x:c r="E492" s="189" t="n">
        <x:v>0.9</x:v>
      </x:c>
      <x:c r="F492" s="189" t="n">
        <x:f>MAX(MIN('詳細設定'!$D$15+0.05,1),0)</x:f>
        <x:v>0.45</x:v>
      </x:c>
      <x:c r="G492" s="563" t="n">
        <x:f>'_計算月次'!$J$12</x:f>
        <x:v>528.6548067323699</x:v>
      </x:c>
      <x:c r="H492" s="563" t="n">
        <x:f>'_計算月次'!$K$12</x:f>
        <x:v>450</x:v>
      </x:c>
      <x:c r="I492" s="563" t="n">
        <x:f>(1-MAX(MIN('詳細設定'!$D$16,0.999999),0))^(B492-1)</x:f>
        <x:v>1</x:v>
      </x:c>
      <x:c r="J492" s="563" t="n">
        <x:f>MAX(G492*D492*I492,0)</x:f>
        <x:v>581.520287405607</x:v>
      </x:c>
      <x:c r="K492" s="563" t="n">
        <x:f>MAX(MIN(J492*F492,H492),0)</x:f>
        <x:v>261.6841293325231</x:v>
      </x:c>
      <x:c r="L492" s="563" t="n">
        <x:f>MAX(J492-K492,0)</x:f>
        <x:v>319.8361580730838</x:v>
      </x:c>
      <x:c r="M492" s="185" t="n">
        <x:f>MAX('詳細設定'!$D$6,0)*(1+'詳細設定'!$D$21)^(B492-1)</x:f>
        <x:v>35</x:v>
      </x:c>
      <x:c r="N492" s="185" t="n">
        <x:f>IF(B492&lt;=MAX(MIN('詳細設定'!$D$8,20),0),MAX('詳細設定'!$D$7,0),IF(B492&lt;=MAX(MIN('詳細設定'!$D$10,20),0),MAX('詳細設定'!$D$9,0),MAX('詳細設定'!$D$11,0)))</x:f>
        <x:v>24</x:v>
      </x:c>
      <x:c r="O492" s="190" t="n">
        <x:f>K492*M492</x:f>
        <x:v>9158.94452663831</x:v>
      </x:c>
      <x:c r="P492" s="190" t="n">
        <x:f>L492*N492</x:f>
        <x:v>7676.067793754011</x:v>
      </x:c>
      <x:c r="Q492" s="190" t="n">
        <x:f>O492+P492</x:f>
        <x:v>16835.01232039232</x:v>
      </x:c>
      <x:c r="R492" s="196" t="n">
        <x:f>J492-K492-L492</x:f>
        <x:v>0</x:v>
      </x:c>
    </x:row>
    <x:row r="493">
      <x:c r="A493" s="20" t="str">
        <x:v>上振れ</x:v>
      </x:c>
      <x:c r="B493" s="20" t="n">
        <x:v>1</x:v>
      </x:c>
      <x:c r="C493" s="20" t="n">
        <x:v>9</x:v>
      </x:c>
      <x:c r="D493" s="189" t="n">
        <x:v>1.1</x:v>
      </x:c>
      <x:c r="E493" s="189" t="n">
        <x:v>0.9</x:v>
      </x:c>
      <x:c r="F493" s="189" t="n">
        <x:f>MAX(MIN('詳細設定'!$D$15+0.05,1),0)</x:f>
        <x:v>0.45</x:v>
      </x:c>
      <x:c r="G493" s="563" t="n">
        <x:f>'_計算月次'!$J$13</x:f>
        <x:v>436.37734765103465</x:v>
      </x:c>
      <x:c r="H493" s="563" t="n">
        <x:f>'_計算月次'!$K$13</x:f>
        <x:v>360</x:v>
      </x:c>
      <x:c r="I493" s="563" t="n">
        <x:f>(1-MAX(MIN('詳細設定'!$D$16,0.999999),0))^(B493-1)</x:f>
        <x:v>1</x:v>
      </x:c>
      <x:c r="J493" s="563" t="n">
        <x:f>MAX(G493*D493*I493,0)</x:f>
        <x:v>480.01508241613817</x:v>
      </x:c>
      <x:c r="K493" s="563" t="n">
        <x:f>MAX(MIN(J493*F493,H493),0)</x:f>
        <x:v>216.00678708726218</x:v>
      </x:c>
      <x:c r="L493" s="563" t="n">
        <x:f>MAX(J493-K493,0)</x:f>
        <x:v>264.008295328876</x:v>
      </x:c>
      <x:c r="M493" s="185" t="n">
        <x:f>MAX('詳細設定'!$D$6,0)*(1+'詳細設定'!$D$21)^(B493-1)</x:f>
        <x:v>35</x:v>
      </x:c>
      <x:c r="N493" s="185" t="n">
        <x:f>IF(B493&lt;=MAX(MIN('詳細設定'!$D$8,20),0),MAX('詳細設定'!$D$7,0),IF(B493&lt;=MAX(MIN('詳細設定'!$D$10,20),0),MAX('詳細設定'!$D$9,0),MAX('詳細設定'!$D$11,0)))</x:f>
        <x:v>24</x:v>
      </x:c>
      <x:c r="O493" s="190" t="n">
        <x:f>K493*M493</x:f>
        <x:v>7560.237548054176</x:v>
      </x:c>
      <x:c r="P493" s="190" t="n">
        <x:f>L493*N493</x:f>
        <x:v>6336.199087893024</x:v>
      </x:c>
      <x:c r="Q493" s="190" t="n">
        <x:f>O493+P493</x:f>
        <x:v>13896.4366359472</x:v>
      </x:c>
      <x:c r="R493" s="196" t="n">
        <x:f>J493-K493-L493</x:f>
        <x:v>0</x:v>
      </x:c>
    </x:row>
    <x:row r="494">
      <x:c r="A494" s="20" t="str">
        <x:v>上振れ</x:v>
      </x:c>
      <x:c r="B494" s="20" t="n">
        <x:v>1</x:v>
      </x:c>
      <x:c r="C494" s="20" t="n">
        <x:v>10</x:v>
      </x:c>
      <x:c r="D494" s="189" t="n">
        <x:v>1.1</x:v>
      </x:c>
      <x:c r="E494" s="189" t="n">
        <x:v>0.9</x:v>
      </x:c>
      <x:c r="F494" s="189" t="n">
        <x:f>MAX(MIN('詳細設定'!$D$15+0.05,1),0)</x:f>
        <x:v>0.45</x:v>
      </x:c>
      <x:c r="G494" s="563" t="n">
        <x:f>'_計算月次'!$J$14</x:f>
        <x:v>408.8269849869007</x:v>
      </x:c>
      <x:c r="H494" s="563" t="n">
        <x:f>'_計算月次'!$K$14</x:f>
        <x:v>315.00000000000006</x:v>
      </x:c>
      <x:c r="I494" s="563" t="n">
        <x:f>(1-MAX(MIN('詳細設定'!$D$16,0.999999),0))^(B494-1)</x:f>
        <x:v>1</x:v>
      </x:c>
      <x:c r="J494" s="563" t="n">
        <x:f>MAX(G494*D494*I494,0)</x:f>
        <x:v>449.7096834855908</x:v>
      </x:c>
      <x:c r="K494" s="563" t="n">
        <x:f>MAX(MIN(J494*F494,H494),0)</x:f>
        <x:v>202.36935756851585</x:v>
      </x:c>
      <x:c r="L494" s="563" t="n">
        <x:f>MAX(J494-K494,0)</x:f>
        <x:v>247.34032591707495</x:v>
      </x:c>
      <x:c r="M494" s="185" t="n">
        <x:f>MAX('詳細設定'!$D$6,0)*(1+'詳細設定'!$D$21)^(B494-1)</x:f>
        <x:v>35</x:v>
      </x:c>
      <x:c r="N494" s="185" t="n">
        <x:f>IF(B494&lt;=MAX(MIN('詳細設定'!$D$8,20),0),MAX('詳細設定'!$D$7,0),IF(B494&lt;=MAX(MIN('詳細設定'!$D$10,20),0),MAX('詳細設定'!$D$9,0),MAX('詳細設定'!$D$11,0)))</x:f>
        <x:v>24</x:v>
      </x:c>
      <x:c r="O494" s="190" t="n">
        <x:f>K494*M494</x:f>
        <x:v>7082.927514898055</x:v>
      </x:c>
      <x:c r="P494" s="190" t="n">
        <x:f>L494*N494</x:f>
        <x:v>5936.167822009798</x:v>
      </x:c>
      <x:c r="Q494" s="190" t="n">
        <x:f>O494+P494</x:f>
        <x:v>13019.095336907852</x:v>
      </x:c>
      <x:c r="R494" s="196" t="n">
        <x:f>J494-K494-L494</x:f>
        <x:v>0</x:v>
      </x:c>
    </x:row>
    <x:row r="495">
      <x:c r="A495" s="20" t="str">
        <x:v>上振れ</x:v>
      </x:c>
      <x:c r="B495" s="20" t="n">
        <x:v>1</x:v>
      </x:c>
      <x:c r="C495" s="20" t="n">
        <x:v>11</x:v>
      </x:c>
      <x:c r="D495" s="189" t="n">
        <x:v>1.1</x:v>
      </x:c>
      <x:c r="E495" s="189" t="n">
        <x:v>0.9</x:v>
      </x:c>
      <x:c r="F495" s="189" t="n">
        <x:f>MAX(MIN('詳細設定'!$D$15+0.05,1),0)</x:f>
        <x:v>0.45</x:v>
      </x:c>
      <x:c r="G495" s="563" t="n">
        <x:f>'_計算月次'!$J$15</x:f>
        <x:v>398.45169764745054</x:v>
      </x:c>
      <x:c r="H495" s="563" t="n">
        <x:f>'_計算月次'!$K$15</x:f>
        <x:v>360</x:v>
      </x:c>
      <x:c r="I495" s="563" t="n">
        <x:f>(1-MAX(MIN('詳細設定'!$D$16,0.999999),0))^(B495-1)</x:f>
        <x:v>1</x:v>
      </x:c>
      <x:c r="J495" s="563" t="n">
        <x:f>MAX(G495*D495*I495,0)</x:f>
        <x:v>438.29686741219564</x:v>
      </x:c>
      <x:c r="K495" s="563" t="n">
        <x:f>MAX(MIN(J495*F495,H495),0)</x:f>
        <x:v>197.23359033548803</x:v>
      </x:c>
      <x:c r="L495" s="563" t="n">
        <x:f>MAX(J495-K495,0)</x:f>
        <x:v>241.0632770767076</x:v>
      </x:c>
      <x:c r="M495" s="185" t="n">
        <x:f>MAX('詳細設定'!$D$6,0)*(1+'詳細設定'!$D$21)^(B495-1)</x:f>
        <x:v>35</x:v>
      </x:c>
      <x:c r="N495" s="185" t="n">
        <x:f>IF(B495&lt;=MAX(MIN('詳細設定'!$D$8,20),0),MAX('詳細設定'!$D$7,0),IF(B495&lt;=MAX(MIN('詳細設定'!$D$10,20),0),MAX('詳細設定'!$D$9,0),MAX('詳細設定'!$D$11,0)))</x:f>
        <x:v>24</x:v>
      </x:c>
      <x:c r="O495" s="190" t="n">
        <x:f>K495*M495</x:f>
        <x:v>6903.1756617420815</x:v>
      </x:c>
      <x:c r="P495" s="190" t="n">
        <x:f>L495*N495</x:f>
        <x:v>5785.518649840982</x:v>
      </x:c>
      <x:c r="Q495" s="190" t="n">
        <x:f>O495+P495</x:f>
        <x:v>12688.694311583064</x:v>
      </x:c>
      <x:c r="R495" s="196" t="n">
        <x:f>J495-K495-L495</x:f>
        <x:v>0</x:v>
      </x:c>
    </x:row>
    <x:row r="496">
      <x:c r="A496" s="20" t="str">
        <x:v>上振れ</x:v>
      </x:c>
      <x:c r="B496" s="20" t="n">
        <x:v>1</x:v>
      </x:c>
      <x:c r="C496" s="20" t="n">
        <x:v>12</x:v>
      </x:c>
      <x:c r="D496" s="189" t="n">
        <x:v>1.1</x:v>
      </x:c>
      <x:c r="E496" s="189" t="n">
        <x:v>0.9</x:v>
      </x:c>
      <x:c r="F496" s="189" t="n">
        <x:f>MAX(MIN('詳細設定'!$D$15+0.05,1),0)</x:f>
        <x:v>0.45</x:v>
      </x:c>
      <x:c r="G496" s="563" t="n">
        <x:f>'_計算月次'!$J$16</x:f>
        <x:v>443.97248688000184</x:v>
      </x:c>
      <x:c r="H496" s="563" t="n">
        <x:f>'_計算月次'!$K$16</x:f>
        <x:v>405</x:v>
      </x:c>
      <x:c r="I496" s="563" t="n">
        <x:f>(1-MAX(MIN('詳細設定'!$D$16,0.999999),0))^(B496-1)</x:f>
        <x:v>1</x:v>
      </x:c>
      <x:c r="J496" s="563" t="n">
        <x:f>MAX(G496*D496*I496,0)</x:f>
        <x:v>488.36973556800206</x:v>
      </x:c>
      <x:c r="K496" s="563" t="n">
        <x:f>MAX(MIN(J496*F496,H496),0)</x:f>
        <x:v>219.76638100560092</x:v>
      </x:c>
      <x:c r="L496" s="563" t="n">
        <x:f>MAX(J496-K496,0)</x:f>
        <x:v>268.60335456240114</x:v>
      </x:c>
      <x:c r="M496" s="185" t="n">
        <x:f>MAX('詳細設定'!$D$6,0)*(1+'詳細設定'!$D$21)^(B496-1)</x:f>
        <x:v>35</x:v>
      </x:c>
      <x:c r="N496" s="185" t="n">
        <x:f>IF(B496&lt;=MAX(MIN('詳細設定'!$D$8,20),0),MAX('詳細設定'!$D$7,0),IF(B496&lt;=MAX(MIN('詳細設定'!$D$10,20),0),MAX('詳細設定'!$D$9,0),MAX('詳細設定'!$D$11,0)))</x:f>
        <x:v>24</x:v>
      </x:c>
      <x:c r="O496" s="190" t="n">
        <x:f>K496*M496</x:f>
        <x:v>7691.8233351960325</x:v>
      </x:c>
      <x:c r="P496" s="190" t="n">
        <x:f>L496*N496</x:f>
        <x:v>6446.480509497627</x:v>
      </x:c>
      <x:c r="Q496" s="190" t="n">
        <x:f>O496+P496</x:f>
        <x:v>14138.303844693659</x:v>
      </x:c>
      <x:c r="R496" s="196" t="n">
        <x:f>J496-K496-L496</x:f>
        <x:v>0</x:v>
      </x:c>
    </x:row>
    <x:row r="497">
      <x:c r="A497" s="20" t="str">
        <x:v>上振れ</x:v>
      </x:c>
      <x:c r="B497" s="20" t="n">
        <x:v>2</x:v>
      </x:c>
      <x:c r="C497" s="20" t="n">
        <x:v>1</x:v>
      </x:c>
      <x:c r="D497" s="189" t="n">
        <x:v>1.1</x:v>
      </x:c>
      <x:c r="E497" s="189" t="n">
        <x:v>0.9</x:v>
      </x:c>
      <x:c r="F497" s="189" t="n">
        <x:f>MAX(MIN('詳細設定'!$D$15+0.05,1),0)</x:f>
        <x:v>0.45</x:v>
      </x:c>
      <x:c r="G497" s="563" t="n">
        <x:f>'_計算月次'!$J$5</x:f>
        <x:v>502.4147595742038</x:v>
      </x:c>
      <x:c r="H497" s="563" t="n">
        <x:f>'_計算月次'!$K$5</x:f>
        <x:v>450</x:v>
      </x:c>
      <x:c r="I497" s="563" t="n">
        <x:f>(1-MAX(MIN('詳細設定'!$D$16,0.999999),0))^(B497-1)</x:f>
        <x:v>1</x:v>
      </x:c>
      <x:c r="J497" s="563" t="n">
        <x:f>MAX(G497*D497*I497,0)</x:f>
        <x:v>552.6562355316242</x:v>
      </x:c>
      <x:c r="K497" s="563" t="n">
        <x:f>MAX(MIN(J497*F497,H497),0)</x:f>
        <x:v>248.69530598923092</x:v>
      </x:c>
      <x:c r="L497" s="563" t="n">
        <x:f>MAX(J497-K497,0)</x:f>
        <x:v>303.96092954239333</x:v>
      </x:c>
      <x:c r="M497" s="185" t="n">
        <x:f>MAX('詳細設定'!$D$6,0)*(1+'詳細設定'!$D$21)^(B497-1)</x:f>
        <x:v>35.35</x:v>
      </x:c>
      <x:c r="N497" s="185" t="n">
        <x:f>IF(B497&lt;=MAX(MIN('詳細設定'!$D$8,20),0),MAX('詳細設定'!$D$7,0),IF(B497&lt;=MAX(MIN('詳細設定'!$D$10,20),0),MAX('詳細設定'!$D$9,0),MAX('詳細設定'!$D$11,0)))</x:f>
        <x:v>24</x:v>
      </x:c>
      <x:c r="O497" s="190" t="n">
        <x:f>K497*M497</x:f>
        <x:v>8791.379066719313</x:v>
      </x:c>
      <x:c r="P497" s="190" t="n">
        <x:f>L497*N497</x:f>
        <x:v>7295.0623090174395</x:v>
      </x:c>
      <x:c r="Q497" s="190" t="n">
        <x:f>O497+P497</x:f>
        <x:v>16086.441375736753</x:v>
      </x:c>
      <x:c r="R497" s="196" t="n">
        <x:f>J497-K497-L497</x:f>
        <x:v>0</x:v>
      </x:c>
    </x:row>
    <x:row r="498">
      <x:c r="A498" s="20" t="str">
        <x:v>上振れ</x:v>
      </x:c>
      <x:c r="B498" s="20" t="n">
        <x:v>2</x:v>
      </x:c>
      <x:c r="C498" s="20" t="n">
        <x:v>2</x:v>
      </x:c>
      <x:c r="D498" s="189" t="n">
        <x:v>1.1</x:v>
      </x:c>
      <x:c r="E498" s="189" t="n">
        <x:v>0.9</x:v>
      </x:c>
      <x:c r="F498" s="189" t="n">
        <x:f>MAX(MIN('詳細設定'!$D$15+0.05,1),0)</x:f>
        <x:v>0.45</x:v>
      </x:c>
      <x:c r="G498" s="563" t="n">
        <x:f>'_計算月次'!$J$6</x:f>
        <x:v>472.4508339500229</x:v>
      </x:c>
      <x:c r="H498" s="563" t="n">
        <x:f>'_計算月次'!$K$6</x:f>
        <x:v>405</x:v>
      </x:c>
      <x:c r="I498" s="563" t="n">
        <x:f>(1-MAX(MIN('詳細設定'!$D$16,0.999999),0))^(B498-1)</x:f>
        <x:v>1</x:v>
      </x:c>
      <x:c r="J498" s="563" t="n">
        <x:f>MAX(G498*D498*I498,0)</x:f>
        <x:v>519.6959173450252</x:v>
      </x:c>
      <x:c r="K498" s="563" t="n">
        <x:f>MAX(MIN(J498*F498,H498),0)</x:f>
        <x:v>233.86316280526137</x:v>
      </x:c>
      <x:c r="L498" s="563" t="n">
        <x:f>MAX(J498-K498,0)</x:f>
        <x:v>285.83275453976387</x:v>
      </x:c>
      <x:c r="M498" s="185" t="n">
        <x:f>MAX('詳細設定'!$D$6,0)*(1+'詳細設定'!$D$21)^(B498-1)</x:f>
        <x:v>35.35</x:v>
      </x:c>
      <x:c r="N498" s="185" t="n">
        <x:f>IF(B498&lt;=MAX(MIN('詳細設定'!$D$8,20),0),MAX('詳細設定'!$D$7,0),IF(B498&lt;=MAX(MIN('詳細設定'!$D$10,20),0),MAX('詳細設定'!$D$9,0),MAX('詳細設定'!$D$11,0)))</x:f>
        <x:v>24</x:v>
      </x:c>
      <x:c r="O498" s="190" t="n">
        <x:f>K498*M498</x:f>
        <x:v>8267.06280516599</x:v>
      </x:c>
      <x:c r="P498" s="190" t="n">
        <x:f>L498*N498</x:f>
        <x:v>6859.986108954333</x:v>
      </x:c>
      <x:c r="Q498" s="190" t="n">
        <x:f>O498+P498</x:f>
        <x:v>15127.048914120322</x:v>
      </x:c>
      <x:c r="R498" s="196" t="n">
        <x:f>J498-K498-L498</x:f>
        <x:v>0</x:v>
      </x:c>
    </x:row>
    <x:row r="499">
      <x:c r="A499" s="20" t="str">
        <x:v>上振れ</x:v>
      </x:c>
      <x:c r="B499" s="20" t="n">
        <x:v>2</x:v>
      </x:c>
      <x:c r="C499" s="20" t="n">
        <x:v>3</x:v>
      </x:c>
      <x:c r="D499" s="189" t="n">
        <x:v>1.1</x:v>
      </x:c>
      <x:c r="E499" s="189" t="n">
        <x:v>0.9</x:v>
      </x:c>
      <x:c r="F499" s="189" t="n">
        <x:f>MAX(MIN('詳細設定'!$D$15+0.05,1),0)</x:f>
        <x:v>0.45</x:v>
      </x:c>
      <x:c r="G499" s="563" t="n">
        <x:f>'_計算月次'!$J$7</x:f>
        <x:v>548.3418864753118</x:v>
      </x:c>
      <x:c r="H499" s="563" t="n">
        <x:f>'_計算月次'!$K$7</x:f>
        <x:v>360</x:v>
      </x:c>
      <x:c r="I499" s="563" t="n">
        <x:f>(1-MAX(MIN('詳細設定'!$D$16,0.999999),0))^(B499-1)</x:f>
        <x:v>1</x:v>
      </x:c>
      <x:c r="J499" s="563" t="n">
        <x:f>MAX(G499*D499*I499,0)</x:f>
        <x:v>603.176075122843</x:v>
      </x:c>
      <x:c r="K499" s="563" t="n">
        <x:f>MAX(MIN(J499*F499,H499),0)</x:f>
        <x:v>271.42923380527935</x:v>
      </x:c>
      <x:c r="L499" s="563" t="n">
        <x:f>MAX(J499-K499,0)</x:f>
        <x:v>331.7468413175637</x:v>
      </x:c>
      <x:c r="M499" s="185" t="n">
        <x:f>MAX('詳細設定'!$D$6,0)*(1+'詳細設定'!$D$21)^(B499-1)</x:f>
        <x:v>35.35</x:v>
      </x:c>
      <x:c r="N499" s="185" t="n">
        <x:f>IF(B499&lt;=MAX(MIN('詳細設定'!$D$8,20),0),MAX('詳細設定'!$D$7,0),IF(B499&lt;=MAX(MIN('詳細設定'!$D$10,20),0),MAX('詳細設定'!$D$9,0),MAX('詳細設定'!$D$11,0)))</x:f>
        <x:v>24</x:v>
      </x:c>
      <x:c r="O499" s="190" t="n">
        <x:f>K499*M499</x:f>
        <x:v>9595.023415016625</x:v>
      </x:c>
      <x:c r="P499" s="190" t="n">
        <x:f>L499*N499</x:f>
        <x:v>7961.924191621529</x:v>
      </x:c>
      <x:c r="Q499" s="190" t="n">
        <x:f>O499+P499</x:f>
        <x:v>17556.947606638154</x:v>
      </x:c>
      <x:c r="R499" s="196" t="n">
        <x:f>J499-K499-L499</x:f>
        <x:v>0</x:v>
      </x:c>
    </x:row>
    <x:row r="500">
      <x:c r="A500" s="20" t="str">
        <x:v>上振れ</x:v>
      </x:c>
      <x:c r="B500" s="20" t="n">
        <x:v>2</x:v>
      </x:c>
      <x:c r="C500" s="20" t="n">
        <x:v>4</x:v>
      </x:c>
      <x:c r="D500" s="189" t="n">
        <x:v>1.1</x:v>
      </x:c>
      <x:c r="E500" s="189" t="n">
        <x:v>0.9</x:v>
      </x:c>
      <x:c r="F500" s="189" t="n">
        <x:f>MAX(MIN('詳細設定'!$D$15+0.05,1),0)</x:f>
        <x:v>0.45</x:v>
      </x:c>
      <x:c r="G500" s="563" t="n">
        <x:f>'_計算月次'!$J$8</x:f>
        <x:v>548.3944393749554</x:v>
      </x:c>
      <x:c r="H500" s="563" t="n">
        <x:f>'_計算月次'!$K$8</x:f>
        <x:v>315.00000000000006</x:v>
      </x:c>
      <x:c r="I500" s="563" t="n">
        <x:f>(1-MAX(MIN('詳細設定'!$D$16,0.999999),0))^(B500-1)</x:f>
        <x:v>1</x:v>
      </x:c>
      <x:c r="J500" s="563" t="n">
        <x:f>MAX(G500*D500*I500,0)</x:f>
        <x:v>603.233883312451</x:v>
      </x:c>
      <x:c r="K500" s="563" t="n">
        <x:f>MAX(MIN(J500*F500,H500),0)</x:f>
        <x:v>271.45524749060297</x:v>
      </x:c>
      <x:c r="L500" s="563" t="n">
        <x:f>MAX(J500-K500,0)</x:f>
        <x:v>331.778635821848</x:v>
      </x:c>
      <x:c r="M500" s="185" t="n">
        <x:f>MAX('詳細設定'!$D$6,0)*(1+'詳細設定'!$D$21)^(B500-1)</x:f>
        <x:v>35.35</x:v>
      </x:c>
      <x:c r="N500" s="185" t="n">
        <x:f>IF(B500&lt;=MAX(MIN('詳細設定'!$D$8,20),0),MAX('詳細設定'!$D$7,0),IF(B500&lt;=MAX(MIN('詳細設定'!$D$10,20),0),MAX('詳細設定'!$D$9,0),MAX('詳細設定'!$D$11,0)))</x:f>
        <x:v>24</x:v>
      </x:c>
      <x:c r="O500" s="190" t="n">
        <x:f>K500*M500</x:f>
        <x:v>9595.942998792816</x:v>
      </x:c>
      <x:c r="P500" s="190" t="n">
        <x:f>L500*N500</x:f>
        <x:v>7962.687259724353</x:v>
      </x:c>
      <x:c r="Q500" s="190" t="n">
        <x:f>O500+P500</x:f>
        <x:v>17558.63025851717</x:v>
      </x:c>
      <x:c r="R500" s="196" t="n">
        <x:f>J500-K500-L500</x:f>
        <x:v>0</x:v>
      </x:c>
    </x:row>
    <x:row r="501">
      <x:c r="A501" s="20" t="str">
        <x:v>上振れ</x:v>
      </x:c>
      <x:c r="B501" s="20" t="n">
        <x:v>2</x:v>
      </x:c>
      <x:c r="C501" s="20" t="n">
        <x:v>5</x:v>
      </x:c>
      <x:c r="D501" s="189" t="n">
        <x:v>1.1</x:v>
      </x:c>
      <x:c r="E501" s="189" t="n">
        <x:v>0.9</x:v>
      </x:c>
      <x:c r="F501" s="189" t="n">
        <x:f>MAX(MIN('詳細設定'!$D$15+0.05,1),0)</x:f>
        <x:v>0.45</x:v>
      </x:c>
      <x:c r="G501" s="563" t="n">
        <x:f>'_計算月次'!$J$9</x:f>
        <x:v>552.2367574934775</x:v>
      </x:c>
      <x:c r="H501" s="563" t="n">
        <x:f>'_計算月次'!$K$9</x:f>
        <x:v>315.00000000000006</x:v>
      </x:c>
      <x:c r="I501" s="563" t="n">
        <x:f>(1-MAX(MIN('詳細設定'!$D$16,0.999999),0))^(B501-1)</x:f>
        <x:v>1</x:v>
      </x:c>
      <x:c r="J501" s="563" t="n">
        <x:f>MAX(G501*D501*I501,0)</x:f>
        <x:v>607.4604332428253</x:v>
      </x:c>
      <x:c r="K501" s="563" t="n">
        <x:f>MAX(MIN(J501*F501,H501),0)</x:f>
        <x:v>273.3571949592714</x:v>
      </x:c>
      <x:c r="L501" s="563" t="n">
        <x:f>MAX(J501-K501,0)</x:f>
        <x:v>334.1032382835539</x:v>
      </x:c>
      <x:c r="M501" s="185" t="n">
        <x:f>MAX('詳細設定'!$D$6,0)*(1+'詳細設定'!$D$21)^(B501-1)</x:f>
        <x:v>35.35</x:v>
      </x:c>
      <x:c r="N501" s="185" t="n">
        <x:f>IF(B501&lt;=MAX(MIN('詳細設定'!$D$8,20),0),MAX('詳細設定'!$D$7,0),IF(B501&lt;=MAX(MIN('詳細設定'!$D$10,20),0),MAX('詳細設定'!$D$9,0),MAX('詳細設定'!$D$11,0)))</x:f>
        <x:v>24</x:v>
      </x:c>
      <x:c r="O501" s="190" t="n">
        <x:f>K501*M501</x:f>
        <x:v>9663.176841810244</x:v>
      </x:c>
      <x:c r="P501" s="190" t="n">
        <x:f>L501*N501</x:f>
        <x:v>8018.477718805293</x:v>
      </x:c>
      <x:c r="Q501" s="190" t="n">
        <x:f>O501+P501</x:f>
        <x:v>17681.654560615538</x:v>
      </x:c>
      <x:c r="R501" s="196" t="n">
        <x:f>J501-K501-L501</x:f>
        <x:v>0</x:v>
      </x:c>
    </x:row>
    <x:row r="502">
      <x:c r="A502" s="20" t="str">
        <x:v>上振れ</x:v>
      </x:c>
      <x:c r="B502" s="20" t="n">
        <x:v>2</x:v>
      </x:c>
      <x:c r="C502" s="20" t="n">
        <x:v>6</x:v>
      </x:c>
      <x:c r="D502" s="189" t="n">
        <x:v>1.1</x:v>
      </x:c>
      <x:c r="E502" s="189" t="n">
        <x:v>0.9</x:v>
      </x:c>
      <x:c r="F502" s="189" t="n">
        <x:f>MAX(MIN('詳細設定'!$D$15+0.05,1),0)</x:f>
        <x:v>0.45</x:v>
      </x:c>
      <x:c r="G502" s="563" t="n">
        <x:f>'_計算月次'!$J$10</x:f>
        <x:v>448.7994857612148</x:v>
      </x:c>
      <x:c r="H502" s="563" t="n">
        <x:f>'_計算月次'!$K$10</x:f>
        <x:v>360</x:v>
      </x:c>
      <x:c r="I502" s="563" t="n">
        <x:f>(1-MAX(MIN('詳細設定'!$D$16,0.999999),0))^(B502-1)</x:f>
        <x:v>1</x:v>
      </x:c>
      <x:c r="J502" s="563" t="n">
        <x:f>MAX(G502*D502*I502,0)</x:f>
        <x:v>493.6794343373363</x:v>
      </x:c>
      <x:c r="K502" s="563" t="n">
        <x:f>MAX(MIN(J502*F502,H502),0)</x:f>
        <x:v>222.15574545180135</x:v>
      </x:c>
      <x:c r="L502" s="563" t="n">
        <x:f>MAX(J502-K502,0)</x:f>
        <x:v>271.52368888553497</x:v>
      </x:c>
      <x:c r="M502" s="185" t="n">
        <x:f>MAX('詳細設定'!$D$6,0)*(1+'詳細設定'!$D$21)^(B502-1)</x:f>
        <x:v>35.35</x:v>
      </x:c>
      <x:c r="N502" s="185" t="n">
        <x:f>IF(B502&lt;=MAX(MIN('詳細設定'!$D$8,20),0),MAX('詳細設定'!$D$7,0),IF(B502&lt;=MAX(MIN('詳細設定'!$D$10,20),0),MAX('詳細設定'!$D$9,0),MAX('詳細設定'!$D$11,0)))</x:f>
        <x:v>24</x:v>
      </x:c>
      <x:c r="O502" s="190" t="n">
        <x:f>K502*M502</x:f>
        <x:v>7853.205601721178</x:v>
      </x:c>
      <x:c r="P502" s="190" t="n">
        <x:f>L502*N502</x:f>
        <x:v>6516.568533252839</x:v>
      </x:c>
      <x:c r="Q502" s="190" t="n">
        <x:f>O502+P502</x:f>
        <x:v>14369.774134974017</x:v>
      </x:c>
      <x:c r="R502" s="196" t="n">
        <x:f>J502-K502-L502</x:f>
        <x:v>0</x:v>
      </x:c>
    </x:row>
    <x:row r="503">
      <x:c r="A503" s="20" t="str">
        <x:v>上振れ</x:v>
      </x:c>
      <x:c r="B503" s="20" t="n">
        <x:v>2</x:v>
      </x:c>
      <x:c r="C503" s="20" t="n">
        <x:v>7</x:v>
      </x:c>
      <x:c r="D503" s="189" t="n">
        <x:v>1.1</x:v>
      </x:c>
      <x:c r="E503" s="189" t="n">
        <x:v>0.9</x:v>
      </x:c>
      <x:c r="F503" s="189" t="n">
        <x:f>MAX(MIN('詳細設定'!$D$15+0.05,1),0)</x:f>
        <x:v>0.45</x:v>
      </x:c>
      <x:c r="G503" s="563" t="n">
        <x:f>'_計算月次'!$J$11</x:f>
        <x:v>476.0181638067866</x:v>
      </x:c>
      <x:c r="H503" s="563" t="n">
        <x:f>'_計算月次'!$K$11</x:f>
        <x:v>405</x:v>
      </x:c>
      <x:c r="I503" s="563" t="n">
        <x:f>(1-MAX(MIN('詳細設定'!$D$16,0.999999),0))^(B503-1)</x:f>
        <x:v>1</x:v>
      </x:c>
      <x:c r="J503" s="563" t="n">
        <x:f>MAX(G503*D503*I503,0)</x:f>
        <x:v>523.6199801874653</x:v>
      </x:c>
      <x:c r="K503" s="563" t="n">
        <x:f>MAX(MIN(J503*F503,H503),0)</x:f>
        <x:v>235.6289910843594</x:v>
      </x:c>
      <x:c r="L503" s="563" t="n">
        <x:f>MAX(J503-K503,0)</x:f>
        <x:v>287.9909891031059</x:v>
      </x:c>
      <x:c r="M503" s="185" t="n">
        <x:f>MAX('詳細設定'!$D$6,0)*(1+'詳細設定'!$D$21)^(B503-1)</x:f>
        <x:v>35.35</x:v>
      </x:c>
      <x:c r="N503" s="185" t="n">
        <x:f>IF(B503&lt;=MAX(MIN('詳細設定'!$D$8,20),0),MAX('詳細設定'!$D$7,0),IF(B503&lt;=MAX(MIN('詳細設定'!$D$10,20),0),MAX('詳細設定'!$D$9,0),MAX('詳細設定'!$D$11,0)))</x:f>
        <x:v>24</x:v>
      </x:c>
      <x:c r="O503" s="190" t="n">
        <x:f>K503*M503</x:f>
        <x:v>8329.484834832105</x:v>
      </x:c>
      <x:c r="P503" s="190" t="n">
        <x:f>L503*N503</x:f>
        <x:v>6911.783738474542</x:v>
      </x:c>
      <x:c r="Q503" s="190" t="n">
        <x:f>O503+P503</x:f>
        <x:v>15241.268573306646</x:v>
      </x:c>
      <x:c r="R503" s="196" t="n">
        <x:f>J503-K503-L503</x:f>
        <x:v>0</x:v>
      </x:c>
    </x:row>
    <x:row r="504">
      <x:c r="A504" s="20" t="str">
        <x:v>上振れ</x:v>
      </x:c>
      <x:c r="B504" s="20" t="n">
        <x:v>2</x:v>
      </x:c>
      <x:c r="C504" s="20" t="n">
        <x:v>8</x:v>
      </x:c>
      <x:c r="D504" s="189" t="n">
        <x:v>1.1</x:v>
      </x:c>
      <x:c r="E504" s="189" t="n">
        <x:v>0.9</x:v>
      </x:c>
      <x:c r="F504" s="189" t="n">
        <x:f>MAX(MIN('詳細設定'!$D$15+0.05,1),0)</x:f>
        <x:v>0.45</x:v>
      </x:c>
      <x:c r="G504" s="563" t="n">
        <x:f>'_計算月次'!$J$12</x:f>
        <x:v>528.6548067323699</x:v>
      </x:c>
      <x:c r="H504" s="563" t="n">
        <x:f>'_計算月次'!$K$12</x:f>
        <x:v>450</x:v>
      </x:c>
      <x:c r="I504" s="563" t="n">
        <x:f>(1-MAX(MIN('詳細設定'!$D$16,0.999999),0))^(B504-1)</x:f>
        <x:v>1</x:v>
      </x:c>
      <x:c r="J504" s="563" t="n">
        <x:f>MAX(G504*D504*I504,0)</x:f>
        <x:v>581.520287405607</x:v>
      </x:c>
      <x:c r="K504" s="563" t="n">
        <x:f>MAX(MIN(J504*F504,H504),0)</x:f>
        <x:v>261.6841293325231</x:v>
      </x:c>
      <x:c r="L504" s="563" t="n">
        <x:f>MAX(J504-K504,0)</x:f>
        <x:v>319.8361580730838</x:v>
      </x:c>
      <x:c r="M504" s="185" t="n">
        <x:f>MAX('詳細設定'!$D$6,0)*(1+'詳細設定'!$D$21)^(B504-1)</x:f>
        <x:v>35.35</x:v>
      </x:c>
      <x:c r="N504" s="185" t="n">
        <x:f>IF(B504&lt;=MAX(MIN('詳細設定'!$D$8,20),0),MAX('詳細設定'!$D$7,0),IF(B504&lt;=MAX(MIN('詳細設定'!$D$10,20),0),MAX('詳細設定'!$D$9,0),MAX('詳細設定'!$D$11,0)))</x:f>
        <x:v>24</x:v>
      </x:c>
      <x:c r="O504" s="190" t="n">
        <x:f>K504*M504</x:f>
        <x:v>9250.533971904693</x:v>
      </x:c>
      <x:c r="P504" s="190" t="n">
        <x:f>L504*N504</x:f>
        <x:v>7676.067793754011</x:v>
      </x:c>
      <x:c r="Q504" s="190" t="n">
        <x:f>O504+P504</x:f>
        <x:v>16926.601765658706</x:v>
      </x:c>
      <x:c r="R504" s="196" t="n">
        <x:f>J504-K504-L504</x:f>
        <x:v>0</x:v>
      </x:c>
    </x:row>
    <x:row r="505">
      <x:c r="A505" s="20" t="str">
        <x:v>上振れ</x:v>
      </x:c>
      <x:c r="B505" s="20" t="n">
        <x:v>2</x:v>
      </x:c>
      <x:c r="C505" s="20" t="n">
        <x:v>9</x:v>
      </x:c>
      <x:c r="D505" s="189" t="n">
        <x:v>1.1</x:v>
      </x:c>
      <x:c r="E505" s="189" t="n">
        <x:v>0.9</x:v>
      </x:c>
      <x:c r="F505" s="189" t="n">
        <x:f>MAX(MIN('詳細設定'!$D$15+0.05,1),0)</x:f>
        <x:v>0.45</x:v>
      </x:c>
      <x:c r="G505" s="563" t="n">
        <x:f>'_計算月次'!$J$13</x:f>
        <x:v>436.37734765103465</x:v>
      </x:c>
      <x:c r="H505" s="563" t="n">
        <x:f>'_計算月次'!$K$13</x:f>
        <x:v>360</x:v>
      </x:c>
      <x:c r="I505" s="563" t="n">
        <x:f>(1-MAX(MIN('詳細設定'!$D$16,0.999999),0))^(B505-1)</x:f>
        <x:v>1</x:v>
      </x:c>
      <x:c r="J505" s="563" t="n">
        <x:f>MAX(G505*D505*I505,0)</x:f>
        <x:v>480.01508241613817</x:v>
      </x:c>
      <x:c r="K505" s="563" t="n">
        <x:f>MAX(MIN(J505*F505,H505),0)</x:f>
        <x:v>216.00678708726218</x:v>
      </x:c>
      <x:c r="L505" s="563" t="n">
        <x:f>MAX(J505-K505,0)</x:f>
        <x:v>264.008295328876</x:v>
      </x:c>
      <x:c r="M505" s="185" t="n">
        <x:f>MAX('詳細設定'!$D$6,0)*(1+'詳細設定'!$D$21)^(B505-1)</x:f>
        <x:v>35.35</x:v>
      </x:c>
      <x:c r="N505" s="185" t="n">
        <x:f>IF(B505&lt;=MAX(MIN('詳細設定'!$D$8,20),0),MAX('詳細設定'!$D$7,0),IF(B505&lt;=MAX(MIN('詳細設定'!$D$10,20),0),MAX('詳細設定'!$D$9,0),MAX('詳細設定'!$D$11,0)))</x:f>
        <x:v>24</x:v>
      </x:c>
      <x:c r="O505" s="190" t="n">
        <x:f>K505*M505</x:f>
        <x:v>7635.839923534719</x:v>
      </x:c>
      <x:c r="P505" s="190" t="n">
        <x:f>L505*N505</x:f>
        <x:v>6336.199087893024</x:v>
      </x:c>
      <x:c r="Q505" s="190" t="n">
        <x:f>O505+P505</x:f>
        <x:v>13972.039011427743</x:v>
      </x:c>
      <x:c r="R505" s="196" t="n">
        <x:f>J505-K505-L505</x:f>
        <x:v>0</x:v>
      </x:c>
    </x:row>
    <x:row r="506">
      <x:c r="A506" s="20" t="str">
        <x:v>上振れ</x:v>
      </x:c>
      <x:c r="B506" s="20" t="n">
        <x:v>2</x:v>
      </x:c>
      <x:c r="C506" s="20" t="n">
        <x:v>10</x:v>
      </x:c>
      <x:c r="D506" s="189" t="n">
        <x:v>1.1</x:v>
      </x:c>
      <x:c r="E506" s="189" t="n">
        <x:v>0.9</x:v>
      </x:c>
      <x:c r="F506" s="189" t="n">
        <x:f>MAX(MIN('詳細設定'!$D$15+0.05,1),0)</x:f>
        <x:v>0.45</x:v>
      </x:c>
      <x:c r="G506" s="563" t="n">
        <x:f>'_計算月次'!$J$14</x:f>
        <x:v>408.8269849869007</x:v>
      </x:c>
      <x:c r="H506" s="563" t="n">
        <x:f>'_計算月次'!$K$14</x:f>
        <x:v>315.00000000000006</x:v>
      </x:c>
      <x:c r="I506" s="563" t="n">
        <x:f>(1-MAX(MIN('詳細設定'!$D$16,0.999999),0))^(B506-1)</x:f>
        <x:v>1</x:v>
      </x:c>
      <x:c r="J506" s="563" t="n">
        <x:f>MAX(G506*D506*I506,0)</x:f>
        <x:v>449.7096834855908</x:v>
      </x:c>
      <x:c r="K506" s="563" t="n">
        <x:f>MAX(MIN(J506*F506,H506),0)</x:f>
        <x:v>202.36935756851585</x:v>
      </x:c>
      <x:c r="L506" s="563" t="n">
        <x:f>MAX(J506-K506,0)</x:f>
        <x:v>247.34032591707495</x:v>
      </x:c>
      <x:c r="M506" s="185" t="n">
        <x:f>MAX('詳細設定'!$D$6,0)*(1+'詳細設定'!$D$21)^(B506-1)</x:f>
        <x:v>35.35</x:v>
      </x:c>
      <x:c r="N506" s="185" t="n">
        <x:f>IF(B506&lt;=MAX(MIN('詳細設定'!$D$8,20),0),MAX('詳細設定'!$D$7,0),IF(B506&lt;=MAX(MIN('詳細設定'!$D$10,20),0),MAX('詳細設定'!$D$9,0),MAX('詳細設定'!$D$11,0)))</x:f>
        <x:v>24</x:v>
      </x:c>
      <x:c r="O506" s="190" t="n">
        <x:f>K506*M506</x:f>
        <x:v>7153.756790047036</x:v>
      </x:c>
      <x:c r="P506" s="190" t="n">
        <x:f>L506*N506</x:f>
        <x:v>5936.167822009798</x:v>
      </x:c>
      <x:c r="Q506" s="190" t="n">
        <x:f>O506+P506</x:f>
        <x:v>13089.924612056835</x:v>
      </x:c>
      <x:c r="R506" s="196" t="n">
        <x:f>J506-K506-L506</x:f>
        <x:v>0</x:v>
      </x:c>
    </x:row>
    <x:row r="507">
      <x:c r="A507" s="20" t="str">
        <x:v>上振れ</x:v>
      </x:c>
      <x:c r="B507" s="20" t="n">
        <x:v>2</x:v>
      </x:c>
      <x:c r="C507" s="20" t="n">
        <x:v>11</x:v>
      </x:c>
      <x:c r="D507" s="189" t="n">
        <x:v>1.1</x:v>
      </x:c>
      <x:c r="E507" s="189" t="n">
        <x:v>0.9</x:v>
      </x:c>
      <x:c r="F507" s="189" t="n">
        <x:f>MAX(MIN('詳細設定'!$D$15+0.05,1),0)</x:f>
        <x:v>0.45</x:v>
      </x:c>
      <x:c r="G507" s="563" t="n">
        <x:f>'_計算月次'!$J$15</x:f>
        <x:v>398.45169764745054</x:v>
      </x:c>
      <x:c r="H507" s="563" t="n">
        <x:f>'_計算月次'!$K$15</x:f>
        <x:v>360</x:v>
      </x:c>
      <x:c r="I507" s="563" t="n">
        <x:f>(1-MAX(MIN('詳細設定'!$D$16,0.999999),0))^(B507-1)</x:f>
        <x:v>1</x:v>
      </x:c>
      <x:c r="J507" s="563" t="n">
        <x:f>MAX(G507*D507*I507,0)</x:f>
        <x:v>438.29686741219564</x:v>
      </x:c>
      <x:c r="K507" s="563" t="n">
        <x:f>MAX(MIN(J507*F507,H507),0)</x:f>
        <x:v>197.23359033548803</x:v>
      </x:c>
      <x:c r="L507" s="563" t="n">
        <x:f>MAX(J507-K507,0)</x:f>
        <x:v>241.0632770767076</x:v>
      </x:c>
      <x:c r="M507" s="185" t="n">
        <x:f>MAX('詳細設定'!$D$6,0)*(1+'詳細設定'!$D$21)^(B507-1)</x:f>
        <x:v>35.35</x:v>
      </x:c>
      <x:c r="N507" s="185" t="n">
        <x:f>IF(B507&lt;=MAX(MIN('詳細設定'!$D$8,20),0),MAX('詳細設定'!$D$7,0),IF(B507&lt;=MAX(MIN('詳細設定'!$D$10,20),0),MAX('詳細設定'!$D$9,0),MAX('詳細設定'!$D$11,0)))</x:f>
        <x:v>24</x:v>
      </x:c>
      <x:c r="O507" s="190" t="n">
        <x:f>K507*M507</x:f>
        <x:v>6972.207418359502</x:v>
      </x:c>
      <x:c r="P507" s="190" t="n">
        <x:f>L507*N507</x:f>
        <x:v>5785.518649840982</x:v>
      </x:c>
      <x:c r="Q507" s="190" t="n">
        <x:f>O507+P507</x:f>
        <x:v>12757.726068200485</x:v>
      </x:c>
      <x:c r="R507" s="196" t="n">
        <x:f>J507-K507-L507</x:f>
        <x:v>0</x:v>
      </x:c>
    </x:row>
    <x:row r="508">
      <x:c r="A508" s="20" t="str">
        <x:v>上振れ</x:v>
      </x:c>
      <x:c r="B508" s="20" t="n">
        <x:v>2</x:v>
      </x:c>
      <x:c r="C508" s="20" t="n">
        <x:v>12</x:v>
      </x:c>
      <x:c r="D508" s="189" t="n">
        <x:v>1.1</x:v>
      </x:c>
      <x:c r="E508" s="189" t="n">
        <x:v>0.9</x:v>
      </x:c>
      <x:c r="F508" s="189" t="n">
        <x:f>MAX(MIN('詳細設定'!$D$15+0.05,1),0)</x:f>
        <x:v>0.45</x:v>
      </x:c>
      <x:c r="G508" s="563" t="n">
        <x:f>'_計算月次'!$J$16</x:f>
        <x:v>443.97248688000184</x:v>
      </x:c>
      <x:c r="H508" s="563" t="n">
        <x:f>'_計算月次'!$K$16</x:f>
        <x:v>405</x:v>
      </x:c>
      <x:c r="I508" s="563" t="n">
        <x:f>(1-MAX(MIN('詳細設定'!$D$16,0.999999),0))^(B508-1)</x:f>
        <x:v>1</x:v>
      </x:c>
      <x:c r="J508" s="563" t="n">
        <x:f>MAX(G508*D508*I508,0)</x:f>
        <x:v>488.36973556800206</x:v>
      </x:c>
      <x:c r="K508" s="563" t="n">
        <x:f>MAX(MIN(J508*F508,H508),0)</x:f>
        <x:v>219.76638100560092</x:v>
      </x:c>
      <x:c r="L508" s="563" t="n">
        <x:f>MAX(J508-K508,0)</x:f>
        <x:v>268.60335456240114</x:v>
      </x:c>
      <x:c r="M508" s="185" t="n">
        <x:f>MAX('詳細設定'!$D$6,0)*(1+'詳細設定'!$D$21)^(B508-1)</x:f>
        <x:v>35.35</x:v>
      </x:c>
      <x:c r="N508" s="185" t="n">
        <x:f>IF(B508&lt;=MAX(MIN('詳細設定'!$D$8,20),0),MAX('詳細設定'!$D$7,0),IF(B508&lt;=MAX(MIN('詳細設定'!$D$10,20),0),MAX('詳細設定'!$D$9,0),MAX('詳細設定'!$D$11,0)))</x:f>
        <x:v>24</x:v>
      </x:c>
      <x:c r="O508" s="190" t="n">
        <x:f>K508*M508</x:f>
        <x:v>7768.741568547993</x:v>
      </x:c>
      <x:c r="P508" s="190" t="n">
        <x:f>L508*N508</x:f>
        <x:v>6446.480509497627</x:v>
      </x:c>
      <x:c r="Q508" s="190" t="n">
        <x:f>O508+P508</x:f>
        <x:v>14215.22207804562</x:v>
      </x:c>
      <x:c r="R508" s="196" t="n">
        <x:f>J508-K508-L508</x:f>
        <x:v>0</x:v>
      </x:c>
    </x:row>
    <x:row r="509">
      <x:c r="A509" s="20" t="str">
        <x:v>上振れ</x:v>
      </x:c>
      <x:c r="B509" s="20" t="n">
        <x:v>3</x:v>
      </x:c>
      <x:c r="C509" s="20" t="n">
        <x:v>1</x:v>
      </x:c>
      <x:c r="D509" s="189" t="n">
        <x:v>1.1</x:v>
      </x:c>
      <x:c r="E509" s="189" t="n">
        <x:v>0.9</x:v>
      </x:c>
      <x:c r="F509" s="189" t="n">
        <x:f>MAX(MIN('詳細設定'!$D$15+0.05,1),0)</x:f>
        <x:v>0.45</x:v>
      </x:c>
      <x:c r="G509" s="563" t="n">
        <x:f>'_計算月次'!$J$5</x:f>
        <x:v>502.4147595742038</x:v>
      </x:c>
      <x:c r="H509" s="563" t="n">
        <x:f>'_計算月次'!$K$5</x:f>
        <x:v>450</x:v>
      </x:c>
      <x:c r="I509" s="563" t="n">
        <x:f>(1-MAX(MIN('詳細設定'!$D$16,0.999999),0))^(B509-1)</x:f>
        <x:v>1</x:v>
      </x:c>
      <x:c r="J509" s="563" t="n">
        <x:f>MAX(G509*D509*I509,0)</x:f>
        <x:v>552.6562355316242</x:v>
      </x:c>
      <x:c r="K509" s="563" t="n">
        <x:f>MAX(MIN(J509*F509,H509),0)</x:f>
        <x:v>248.69530598923092</x:v>
      </x:c>
      <x:c r="L509" s="563" t="n">
        <x:f>MAX(J509-K509,0)</x:f>
        <x:v>303.96092954239333</x:v>
      </x:c>
      <x:c r="M509" s="185" t="n">
        <x:f>MAX('詳細設定'!$D$6,0)*(1+'詳細設定'!$D$21)^(B509-1)</x:f>
        <x:v>35.7035</x:v>
      </x:c>
      <x:c r="N509" s="185" t="n">
        <x:f>IF(B509&lt;=MAX(MIN('詳細設定'!$D$8,20),0),MAX('詳細設定'!$D$7,0),IF(B509&lt;=MAX(MIN('詳細設定'!$D$10,20),0),MAX('詳細設定'!$D$9,0),MAX('詳細設定'!$D$11,0)))</x:f>
        <x:v>24</x:v>
      </x:c>
      <x:c r="O509" s="190" t="n">
        <x:f>K509*M509</x:f>
        <x:v>8879.292857386507</x:v>
      </x:c>
      <x:c r="P509" s="190" t="n">
        <x:f>L509*N509</x:f>
        <x:v>7295.0623090174395</x:v>
      </x:c>
      <x:c r="Q509" s="190" t="n">
        <x:f>O509+P509</x:f>
        <x:v>16174.355166403946</x:v>
      </x:c>
      <x:c r="R509" s="196" t="n">
        <x:f>J509-K509-L509</x:f>
        <x:v>0</x:v>
      </x:c>
    </x:row>
    <x:row r="510">
      <x:c r="A510" s="20" t="str">
        <x:v>上振れ</x:v>
      </x:c>
      <x:c r="B510" s="20" t="n">
        <x:v>3</x:v>
      </x:c>
      <x:c r="C510" s="20" t="n">
        <x:v>2</x:v>
      </x:c>
      <x:c r="D510" s="189" t="n">
        <x:v>1.1</x:v>
      </x:c>
      <x:c r="E510" s="189" t="n">
        <x:v>0.9</x:v>
      </x:c>
      <x:c r="F510" s="189" t="n">
        <x:f>MAX(MIN('詳細設定'!$D$15+0.05,1),0)</x:f>
        <x:v>0.45</x:v>
      </x:c>
      <x:c r="G510" s="563" t="n">
        <x:f>'_計算月次'!$J$6</x:f>
        <x:v>472.4508339500229</x:v>
      </x:c>
      <x:c r="H510" s="563" t="n">
        <x:f>'_計算月次'!$K$6</x:f>
        <x:v>405</x:v>
      </x:c>
      <x:c r="I510" s="563" t="n">
        <x:f>(1-MAX(MIN('詳細設定'!$D$16,0.999999),0))^(B510-1)</x:f>
        <x:v>1</x:v>
      </x:c>
      <x:c r="J510" s="563" t="n">
        <x:f>MAX(G510*D510*I510,0)</x:f>
        <x:v>519.6959173450252</x:v>
      </x:c>
      <x:c r="K510" s="563" t="n">
        <x:f>MAX(MIN(J510*F510,H510),0)</x:f>
        <x:v>233.86316280526137</x:v>
      </x:c>
      <x:c r="L510" s="563" t="n">
        <x:f>MAX(J510-K510,0)</x:f>
        <x:v>285.83275453976387</x:v>
      </x:c>
      <x:c r="M510" s="185" t="n">
        <x:f>MAX('詳細設定'!$D$6,0)*(1+'詳細設定'!$D$21)^(B510-1)</x:f>
        <x:v>35.7035</x:v>
      </x:c>
      <x:c r="N510" s="185" t="n">
        <x:f>IF(B510&lt;=MAX(MIN('詳細設定'!$D$8,20),0),MAX('詳細設定'!$D$7,0),IF(B510&lt;=MAX(MIN('詳細設定'!$D$10,20),0),MAX('詳細設定'!$D$9,0),MAX('詳細設定'!$D$11,0)))</x:f>
        <x:v>24</x:v>
      </x:c>
      <x:c r="O510" s="190" t="n">
        <x:f>K510*M510</x:f>
        <x:v>8349.733433217649</x:v>
      </x:c>
      <x:c r="P510" s="190" t="n">
        <x:f>L510*N510</x:f>
        <x:v>6859.986108954333</x:v>
      </x:c>
      <x:c r="Q510" s="190" t="n">
        <x:f>O510+P510</x:f>
        <x:v>15209.71954217198</x:v>
      </x:c>
      <x:c r="R510" s="196" t="n">
        <x:f>J510-K510-L510</x:f>
        <x:v>0</x:v>
      </x:c>
    </x:row>
    <x:row r="511">
      <x:c r="A511" s="20" t="str">
        <x:v>上振れ</x:v>
      </x:c>
      <x:c r="B511" s="20" t="n">
        <x:v>3</x:v>
      </x:c>
      <x:c r="C511" s="20" t="n">
        <x:v>3</x:v>
      </x:c>
      <x:c r="D511" s="189" t="n">
        <x:v>1.1</x:v>
      </x:c>
      <x:c r="E511" s="189" t="n">
        <x:v>0.9</x:v>
      </x:c>
      <x:c r="F511" s="189" t="n">
        <x:f>MAX(MIN('詳細設定'!$D$15+0.05,1),0)</x:f>
        <x:v>0.45</x:v>
      </x:c>
      <x:c r="G511" s="563" t="n">
        <x:f>'_計算月次'!$J$7</x:f>
        <x:v>548.3418864753118</x:v>
      </x:c>
      <x:c r="H511" s="563" t="n">
        <x:f>'_計算月次'!$K$7</x:f>
        <x:v>360</x:v>
      </x:c>
      <x:c r="I511" s="563" t="n">
        <x:f>(1-MAX(MIN('詳細設定'!$D$16,0.999999),0))^(B511-1)</x:f>
        <x:v>1</x:v>
      </x:c>
      <x:c r="J511" s="563" t="n">
        <x:f>MAX(G511*D511*I511,0)</x:f>
        <x:v>603.176075122843</x:v>
      </x:c>
      <x:c r="K511" s="563" t="n">
        <x:f>MAX(MIN(J511*F511,H511),0)</x:f>
        <x:v>271.42923380527935</x:v>
      </x:c>
      <x:c r="L511" s="563" t="n">
        <x:f>MAX(J511-K511,0)</x:f>
        <x:v>331.7468413175637</x:v>
      </x:c>
      <x:c r="M511" s="185" t="n">
        <x:f>MAX('詳細設定'!$D$6,0)*(1+'詳細設定'!$D$21)^(B511-1)</x:f>
        <x:v>35.7035</x:v>
      </x:c>
      <x:c r="N511" s="185" t="n">
        <x:f>IF(B511&lt;=MAX(MIN('詳細設定'!$D$8,20),0),MAX('詳細設定'!$D$7,0),IF(B511&lt;=MAX(MIN('詳細設定'!$D$10,20),0),MAX('詳細設定'!$D$9,0),MAX('詳細設定'!$D$11,0)))</x:f>
        <x:v>24</x:v>
      </x:c>
      <x:c r="O511" s="190" t="n">
        <x:f>K511*M511</x:f>
        <x:v>9690.97364916679</x:v>
      </x:c>
      <x:c r="P511" s="190" t="n">
        <x:f>L511*N511</x:f>
        <x:v>7961.924191621529</x:v>
      </x:c>
      <x:c r="Q511" s="190" t="n">
        <x:f>O511+P511</x:f>
        <x:v>17652.89784078832</x:v>
      </x:c>
      <x:c r="R511" s="196" t="n">
        <x:f>J511-K511-L511</x:f>
        <x:v>0</x:v>
      </x:c>
    </x:row>
    <x:row r="512">
      <x:c r="A512" s="20" t="str">
        <x:v>上振れ</x:v>
      </x:c>
      <x:c r="B512" s="20" t="n">
        <x:v>3</x:v>
      </x:c>
      <x:c r="C512" s="20" t="n">
        <x:v>4</x:v>
      </x:c>
      <x:c r="D512" s="189" t="n">
        <x:v>1.1</x:v>
      </x:c>
      <x:c r="E512" s="189" t="n">
        <x:v>0.9</x:v>
      </x:c>
      <x:c r="F512" s="189" t="n">
        <x:f>MAX(MIN('詳細設定'!$D$15+0.05,1),0)</x:f>
        <x:v>0.45</x:v>
      </x:c>
      <x:c r="G512" s="563" t="n">
        <x:f>'_計算月次'!$J$8</x:f>
        <x:v>548.3944393749554</x:v>
      </x:c>
      <x:c r="H512" s="563" t="n">
        <x:f>'_計算月次'!$K$8</x:f>
        <x:v>315.00000000000006</x:v>
      </x:c>
      <x:c r="I512" s="563" t="n">
        <x:f>(1-MAX(MIN('詳細設定'!$D$16,0.999999),0))^(B512-1)</x:f>
        <x:v>1</x:v>
      </x:c>
      <x:c r="J512" s="563" t="n">
        <x:f>MAX(G512*D512*I512,0)</x:f>
        <x:v>603.233883312451</x:v>
      </x:c>
      <x:c r="K512" s="563" t="n">
        <x:f>MAX(MIN(J512*F512,H512),0)</x:f>
        <x:v>271.45524749060297</x:v>
      </x:c>
      <x:c r="L512" s="563" t="n">
        <x:f>MAX(J512-K512,0)</x:f>
        <x:v>331.778635821848</x:v>
      </x:c>
      <x:c r="M512" s="185" t="n">
        <x:f>MAX('詳細設定'!$D$6,0)*(1+'詳細設定'!$D$21)^(B512-1)</x:f>
        <x:v>35.7035</x:v>
      </x:c>
      <x:c r="N512" s="185" t="n">
        <x:f>IF(B512&lt;=MAX(MIN('詳細設定'!$D$8,20),0),MAX('詳細設定'!$D$7,0),IF(B512&lt;=MAX(MIN('詳細設定'!$D$10,20),0),MAX('詳細設定'!$D$9,0),MAX('詳細設定'!$D$11,0)))</x:f>
        <x:v>24</x:v>
      </x:c>
      <x:c r="O512" s="190" t="n">
        <x:f>K512*M512</x:f>
        <x:v>9691.902428780742</x:v>
      </x:c>
      <x:c r="P512" s="190" t="n">
        <x:f>L512*N512</x:f>
        <x:v>7962.687259724353</x:v>
      </x:c>
      <x:c r="Q512" s="190" t="n">
        <x:f>O512+P512</x:f>
        <x:v>17654.589688505097</x:v>
      </x:c>
      <x:c r="R512" s="196" t="n">
        <x:f>J512-K512-L512</x:f>
        <x:v>0</x:v>
      </x:c>
    </x:row>
    <x:row r="513">
      <x:c r="A513" s="20" t="str">
        <x:v>上振れ</x:v>
      </x:c>
      <x:c r="B513" s="20" t="n">
        <x:v>3</x:v>
      </x:c>
      <x:c r="C513" s="20" t="n">
        <x:v>5</x:v>
      </x:c>
      <x:c r="D513" s="189" t="n">
        <x:v>1.1</x:v>
      </x:c>
      <x:c r="E513" s="189" t="n">
        <x:v>0.9</x:v>
      </x:c>
      <x:c r="F513" s="189" t="n">
        <x:f>MAX(MIN('詳細設定'!$D$15+0.05,1),0)</x:f>
        <x:v>0.45</x:v>
      </x:c>
      <x:c r="G513" s="563" t="n">
        <x:f>'_計算月次'!$J$9</x:f>
        <x:v>552.2367574934775</x:v>
      </x:c>
      <x:c r="H513" s="563" t="n">
        <x:f>'_計算月次'!$K$9</x:f>
        <x:v>315.00000000000006</x:v>
      </x:c>
      <x:c r="I513" s="563" t="n">
        <x:f>(1-MAX(MIN('詳細設定'!$D$16,0.999999),0))^(B513-1)</x:f>
        <x:v>1</x:v>
      </x:c>
      <x:c r="J513" s="563" t="n">
        <x:f>MAX(G513*D513*I513,0)</x:f>
        <x:v>607.4604332428253</x:v>
      </x:c>
      <x:c r="K513" s="563" t="n">
        <x:f>MAX(MIN(J513*F513,H513),0)</x:f>
        <x:v>273.3571949592714</x:v>
      </x:c>
      <x:c r="L513" s="563" t="n">
        <x:f>MAX(J513-K513,0)</x:f>
        <x:v>334.1032382835539</x:v>
      </x:c>
      <x:c r="M513" s="185" t="n">
        <x:f>MAX('詳細設定'!$D$6,0)*(1+'詳細設定'!$D$21)^(B513-1)</x:f>
        <x:v>35.7035</x:v>
      </x:c>
      <x:c r="N513" s="185" t="n">
        <x:f>IF(B513&lt;=MAX(MIN('詳細設定'!$D$8,20),0),MAX('詳細設定'!$D$7,0),IF(B513&lt;=MAX(MIN('詳細設定'!$D$10,20),0),MAX('詳細設定'!$D$9,0),MAX('詳細設定'!$D$11,0)))</x:f>
        <x:v>24</x:v>
      </x:c>
      <x:c r="O513" s="190" t="n">
        <x:f>K513*M513</x:f>
        <x:v>9759.808610228345</x:v>
      </x:c>
      <x:c r="P513" s="190" t="n">
        <x:f>L513*N513</x:f>
        <x:v>8018.477718805293</x:v>
      </x:c>
      <x:c r="Q513" s="190" t="n">
        <x:f>O513+P513</x:f>
        <x:v>17778.28632903364</x:v>
      </x:c>
      <x:c r="R513" s="196" t="n">
        <x:f>J513-K513-L513</x:f>
        <x:v>0</x:v>
      </x:c>
    </x:row>
    <x:row r="514">
      <x:c r="A514" s="20" t="str">
        <x:v>上振れ</x:v>
      </x:c>
      <x:c r="B514" s="20" t="n">
        <x:v>3</x:v>
      </x:c>
      <x:c r="C514" s="20" t="n">
        <x:v>6</x:v>
      </x:c>
      <x:c r="D514" s="189" t="n">
        <x:v>1.1</x:v>
      </x:c>
      <x:c r="E514" s="189" t="n">
        <x:v>0.9</x:v>
      </x:c>
      <x:c r="F514" s="189" t="n">
        <x:f>MAX(MIN('詳細設定'!$D$15+0.05,1),0)</x:f>
        <x:v>0.45</x:v>
      </x:c>
      <x:c r="G514" s="563" t="n">
        <x:f>'_計算月次'!$J$10</x:f>
        <x:v>448.7994857612148</x:v>
      </x:c>
      <x:c r="H514" s="563" t="n">
        <x:f>'_計算月次'!$K$10</x:f>
        <x:v>360</x:v>
      </x:c>
      <x:c r="I514" s="563" t="n">
        <x:f>(1-MAX(MIN('詳細設定'!$D$16,0.999999),0))^(B514-1)</x:f>
        <x:v>1</x:v>
      </x:c>
      <x:c r="J514" s="563" t="n">
        <x:f>MAX(G514*D514*I514,0)</x:f>
        <x:v>493.6794343373363</x:v>
      </x:c>
      <x:c r="K514" s="563" t="n">
        <x:f>MAX(MIN(J514*F514,H514),0)</x:f>
        <x:v>222.15574545180135</x:v>
      </x:c>
      <x:c r="L514" s="563" t="n">
        <x:f>MAX(J514-K514,0)</x:f>
        <x:v>271.52368888553497</x:v>
      </x:c>
      <x:c r="M514" s="185" t="n">
        <x:f>MAX('詳細設定'!$D$6,0)*(1+'詳細設定'!$D$21)^(B514-1)</x:f>
        <x:v>35.7035</x:v>
      </x:c>
      <x:c r="N514" s="185" t="n">
        <x:f>IF(B514&lt;=MAX(MIN('詳細設定'!$D$8,20),0),MAX('詳細設定'!$D$7,0),IF(B514&lt;=MAX(MIN('詳細設定'!$D$10,20),0),MAX('詳細設定'!$D$9,0),MAX('詳細設定'!$D$11,0)))</x:f>
        <x:v>24</x:v>
      </x:c>
      <x:c r="O514" s="190" t="n">
        <x:f>K514*M514</x:f>
        <x:v>7931.737657738389</x:v>
      </x:c>
      <x:c r="P514" s="190" t="n">
        <x:f>L514*N514</x:f>
        <x:v>6516.568533252839</x:v>
      </x:c>
      <x:c r="Q514" s="190" t="n">
        <x:f>O514+P514</x:f>
        <x:v>14448.306190991229</x:v>
      </x:c>
      <x:c r="R514" s="196" t="n">
        <x:f>J514-K514-L514</x:f>
        <x:v>0</x:v>
      </x:c>
    </x:row>
    <x:row r="515">
      <x:c r="A515" s="20" t="str">
        <x:v>上振れ</x:v>
      </x:c>
      <x:c r="B515" s="20" t="n">
        <x:v>3</x:v>
      </x:c>
      <x:c r="C515" s="20" t="n">
        <x:v>7</x:v>
      </x:c>
      <x:c r="D515" s="189" t="n">
        <x:v>1.1</x:v>
      </x:c>
      <x:c r="E515" s="189" t="n">
        <x:v>0.9</x:v>
      </x:c>
      <x:c r="F515" s="189" t="n">
        <x:f>MAX(MIN('詳細設定'!$D$15+0.05,1),0)</x:f>
        <x:v>0.45</x:v>
      </x:c>
      <x:c r="G515" s="563" t="n">
        <x:f>'_計算月次'!$J$11</x:f>
        <x:v>476.0181638067866</x:v>
      </x:c>
      <x:c r="H515" s="563" t="n">
        <x:f>'_計算月次'!$K$11</x:f>
        <x:v>405</x:v>
      </x:c>
      <x:c r="I515" s="563" t="n">
        <x:f>(1-MAX(MIN('詳細設定'!$D$16,0.999999),0))^(B515-1)</x:f>
        <x:v>1</x:v>
      </x:c>
      <x:c r="J515" s="563" t="n">
        <x:f>MAX(G515*D515*I515,0)</x:f>
        <x:v>523.6199801874653</x:v>
      </x:c>
      <x:c r="K515" s="563" t="n">
        <x:f>MAX(MIN(J515*F515,H515),0)</x:f>
        <x:v>235.6289910843594</x:v>
      </x:c>
      <x:c r="L515" s="563" t="n">
        <x:f>MAX(J515-K515,0)</x:f>
        <x:v>287.9909891031059</x:v>
      </x:c>
      <x:c r="M515" s="185" t="n">
        <x:f>MAX('詳細設定'!$D$6,0)*(1+'詳細設定'!$D$21)^(B515-1)</x:f>
        <x:v>35.7035</x:v>
      </x:c>
      <x:c r="N515" s="185" t="n">
        <x:f>IF(B515&lt;=MAX(MIN('詳細設定'!$D$8,20),0),MAX('詳細設定'!$D$7,0),IF(B515&lt;=MAX(MIN('詳細設定'!$D$10,20),0),MAX('詳細設定'!$D$9,0),MAX('詳細設定'!$D$11,0)))</x:f>
        <x:v>24</x:v>
      </x:c>
      <x:c r="O515" s="190" t="n">
        <x:f>K515*M515</x:f>
        <x:v>8412.779683180426</x:v>
      </x:c>
      <x:c r="P515" s="190" t="n">
        <x:f>L515*N515</x:f>
        <x:v>6911.783738474542</x:v>
      </x:c>
      <x:c r="Q515" s="190" t="n">
        <x:f>O515+P515</x:f>
        <x:v>15324.563421654968</x:v>
      </x:c>
      <x:c r="R515" s="196" t="n">
        <x:f>J515-K515-L515</x:f>
        <x:v>0</x:v>
      </x:c>
    </x:row>
    <x:row r="516">
      <x:c r="A516" s="20" t="str">
        <x:v>上振れ</x:v>
      </x:c>
      <x:c r="B516" s="20" t="n">
        <x:v>3</x:v>
      </x:c>
      <x:c r="C516" s="20" t="n">
        <x:v>8</x:v>
      </x:c>
      <x:c r="D516" s="189" t="n">
        <x:v>1.1</x:v>
      </x:c>
      <x:c r="E516" s="189" t="n">
        <x:v>0.9</x:v>
      </x:c>
      <x:c r="F516" s="189" t="n">
        <x:f>MAX(MIN('詳細設定'!$D$15+0.05,1),0)</x:f>
        <x:v>0.45</x:v>
      </x:c>
      <x:c r="G516" s="563" t="n">
        <x:f>'_計算月次'!$J$12</x:f>
        <x:v>528.6548067323699</x:v>
      </x:c>
      <x:c r="H516" s="563" t="n">
        <x:f>'_計算月次'!$K$12</x:f>
        <x:v>450</x:v>
      </x:c>
      <x:c r="I516" s="563" t="n">
        <x:f>(1-MAX(MIN('詳細設定'!$D$16,0.999999),0))^(B516-1)</x:f>
        <x:v>1</x:v>
      </x:c>
      <x:c r="J516" s="563" t="n">
        <x:f>MAX(G516*D516*I516,0)</x:f>
        <x:v>581.520287405607</x:v>
      </x:c>
      <x:c r="K516" s="563" t="n">
        <x:f>MAX(MIN(J516*F516,H516),0)</x:f>
        <x:v>261.6841293325231</x:v>
      </x:c>
      <x:c r="L516" s="563" t="n">
        <x:f>MAX(J516-K516,0)</x:f>
        <x:v>319.8361580730838</x:v>
      </x:c>
      <x:c r="M516" s="185" t="n">
        <x:f>MAX('詳細設定'!$D$6,0)*(1+'詳細設定'!$D$21)^(B516-1)</x:f>
        <x:v>35.7035</x:v>
      </x:c>
      <x:c r="N516" s="185" t="n">
        <x:f>IF(B516&lt;=MAX(MIN('詳細設定'!$D$8,20),0),MAX('詳細設定'!$D$7,0),IF(B516&lt;=MAX(MIN('詳細設定'!$D$10,20),0),MAX('詳細設定'!$D$9,0),MAX('詳細設定'!$D$11,0)))</x:f>
        <x:v>24</x:v>
      </x:c>
      <x:c r="O516" s="190" t="n">
        <x:f>K516*M516</x:f>
        <x:v>9343.03931162374</x:v>
      </x:c>
      <x:c r="P516" s="190" t="n">
        <x:f>L516*N516</x:f>
        <x:v>7676.067793754011</x:v>
      </x:c>
      <x:c r="Q516" s="190" t="n">
        <x:f>O516+P516</x:f>
        <x:v>17019.10710537775</x:v>
      </x:c>
      <x:c r="R516" s="196" t="n">
        <x:f>J516-K516-L516</x:f>
        <x:v>0</x:v>
      </x:c>
    </x:row>
    <x:row r="517">
      <x:c r="A517" s="20" t="str">
        <x:v>上振れ</x:v>
      </x:c>
      <x:c r="B517" s="20" t="n">
        <x:v>3</x:v>
      </x:c>
      <x:c r="C517" s="20" t="n">
        <x:v>9</x:v>
      </x:c>
      <x:c r="D517" s="189" t="n">
        <x:v>1.1</x:v>
      </x:c>
      <x:c r="E517" s="189" t="n">
        <x:v>0.9</x:v>
      </x:c>
      <x:c r="F517" s="189" t="n">
        <x:f>MAX(MIN('詳細設定'!$D$15+0.05,1),0)</x:f>
        <x:v>0.45</x:v>
      </x:c>
      <x:c r="G517" s="563" t="n">
        <x:f>'_計算月次'!$J$13</x:f>
        <x:v>436.37734765103465</x:v>
      </x:c>
      <x:c r="H517" s="563" t="n">
        <x:f>'_計算月次'!$K$13</x:f>
        <x:v>360</x:v>
      </x:c>
      <x:c r="I517" s="563" t="n">
        <x:f>(1-MAX(MIN('詳細設定'!$D$16,0.999999),0))^(B517-1)</x:f>
        <x:v>1</x:v>
      </x:c>
      <x:c r="J517" s="563" t="n">
        <x:f>MAX(G517*D517*I517,0)</x:f>
        <x:v>480.01508241613817</x:v>
      </x:c>
      <x:c r="K517" s="563" t="n">
        <x:f>MAX(MIN(J517*F517,H517),0)</x:f>
        <x:v>216.00678708726218</x:v>
      </x:c>
      <x:c r="L517" s="563" t="n">
        <x:f>MAX(J517-K517,0)</x:f>
        <x:v>264.008295328876</x:v>
      </x:c>
      <x:c r="M517" s="185" t="n">
        <x:f>MAX('詳細設定'!$D$6,0)*(1+'詳細設定'!$D$21)^(B517-1)</x:f>
        <x:v>35.7035</x:v>
      </x:c>
      <x:c r="N517" s="185" t="n">
        <x:f>IF(B517&lt;=MAX(MIN('詳細設定'!$D$8,20),0),MAX('詳細設定'!$D$7,0),IF(B517&lt;=MAX(MIN('詳細設定'!$D$10,20),0),MAX('詳細設定'!$D$9,0),MAX('詳細設定'!$D$11,0)))</x:f>
        <x:v>24</x:v>
      </x:c>
      <x:c r="O517" s="190" t="n">
        <x:f>K517*M517</x:f>
        <x:v>7712.198322770065</x:v>
      </x:c>
      <x:c r="P517" s="190" t="n">
        <x:f>L517*N517</x:f>
        <x:v>6336.199087893024</x:v>
      </x:c>
      <x:c r="Q517" s="190" t="n">
        <x:f>O517+P517</x:f>
        <x:v>14048.397410663089</x:v>
      </x:c>
      <x:c r="R517" s="196" t="n">
        <x:f>J517-K517-L517</x:f>
        <x:v>0</x:v>
      </x:c>
    </x:row>
    <x:row r="518">
      <x:c r="A518" s="20" t="str">
        <x:v>上振れ</x:v>
      </x:c>
      <x:c r="B518" s="20" t="n">
        <x:v>3</x:v>
      </x:c>
      <x:c r="C518" s="20" t="n">
        <x:v>10</x:v>
      </x:c>
      <x:c r="D518" s="189" t="n">
        <x:v>1.1</x:v>
      </x:c>
      <x:c r="E518" s="189" t="n">
        <x:v>0.9</x:v>
      </x:c>
      <x:c r="F518" s="189" t="n">
        <x:f>MAX(MIN('詳細設定'!$D$15+0.05,1),0)</x:f>
        <x:v>0.45</x:v>
      </x:c>
      <x:c r="G518" s="563" t="n">
        <x:f>'_計算月次'!$J$14</x:f>
        <x:v>408.8269849869007</x:v>
      </x:c>
      <x:c r="H518" s="563" t="n">
        <x:f>'_計算月次'!$K$14</x:f>
        <x:v>315.00000000000006</x:v>
      </x:c>
      <x:c r="I518" s="563" t="n">
        <x:f>(1-MAX(MIN('詳細設定'!$D$16,0.999999),0))^(B518-1)</x:f>
        <x:v>1</x:v>
      </x:c>
      <x:c r="J518" s="563" t="n">
        <x:f>MAX(G518*D518*I518,0)</x:f>
        <x:v>449.7096834855908</x:v>
      </x:c>
      <x:c r="K518" s="563" t="n">
        <x:f>MAX(MIN(J518*F518,H518),0)</x:f>
        <x:v>202.36935756851585</x:v>
      </x:c>
      <x:c r="L518" s="563" t="n">
        <x:f>MAX(J518-K518,0)</x:f>
        <x:v>247.34032591707495</x:v>
      </x:c>
      <x:c r="M518" s="185" t="n">
        <x:f>MAX('詳細設定'!$D$6,0)*(1+'詳細設定'!$D$21)^(B518-1)</x:f>
        <x:v>35.7035</x:v>
      </x:c>
      <x:c r="N518" s="185" t="n">
        <x:f>IF(B518&lt;=MAX(MIN('詳細設定'!$D$8,20),0),MAX('詳細設定'!$D$7,0),IF(B518&lt;=MAX(MIN('詳細設定'!$D$10,20),0),MAX('詳細設定'!$D$9,0),MAX('詳細設定'!$D$11,0)))</x:f>
        <x:v>24</x:v>
      </x:c>
      <x:c r="O518" s="190" t="n">
        <x:f>K518*M518</x:f>
        <x:v>7225.294357947505</x:v>
      </x:c>
      <x:c r="P518" s="190" t="n">
        <x:f>L518*N518</x:f>
        <x:v>5936.167822009798</x:v>
      </x:c>
      <x:c r="Q518" s="190" t="n">
        <x:f>O518+P518</x:f>
        <x:v>13161.462179957303</x:v>
      </x:c>
      <x:c r="R518" s="196" t="n">
        <x:f>J518-K518-L518</x:f>
        <x:v>0</x:v>
      </x:c>
    </x:row>
    <x:row r="519">
      <x:c r="A519" s="20" t="str">
        <x:v>上振れ</x:v>
      </x:c>
      <x:c r="B519" s="20" t="n">
        <x:v>3</x:v>
      </x:c>
      <x:c r="C519" s="20" t="n">
        <x:v>11</x:v>
      </x:c>
      <x:c r="D519" s="189" t="n">
        <x:v>1.1</x:v>
      </x:c>
      <x:c r="E519" s="189" t="n">
        <x:v>0.9</x:v>
      </x:c>
      <x:c r="F519" s="189" t="n">
        <x:f>MAX(MIN('詳細設定'!$D$15+0.05,1),0)</x:f>
        <x:v>0.45</x:v>
      </x:c>
      <x:c r="G519" s="563" t="n">
        <x:f>'_計算月次'!$J$15</x:f>
        <x:v>398.45169764745054</x:v>
      </x:c>
      <x:c r="H519" s="563" t="n">
        <x:f>'_計算月次'!$K$15</x:f>
        <x:v>360</x:v>
      </x:c>
      <x:c r="I519" s="563" t="n">
        <x:f>(1-MAX(MIN('詳細設定'!$D$16,0.999999),0))^(B519-1)</x:f>
        <x:v>1</x:v>
      </x:c>
      <x:c r="J519" s="563" t="n">
        <x:f>MAX(G519*D519*I519,0)</x:f>
        <x:v>438.29686741219564</x:v>
      </x:c>
      <x:c r="K519" s="563" t="n">
        <x:f>MAX(MIN(J519*F519,H519),0)</x:f>
        <x:v>197.23359033548803</x:v>
      </x:c>
      <x:c r="L519" s="563" t="n">
        <x:f>MAX(J519-K519,0)</x:f>
        <x:v>241.0632770767076</x:v>
      </x:c>
      <x:c r="M519" s="185" t="n">
        <x:f>MAX('詳細設定'!$D$6,0)*(1+'詳細設定'!$D$21)^(B519-1)</x:f>
        <x:v>35.7035</x:v>
      </x:c>
      <x:c r="N519" s="185" t="n">
        <x:f>IF(B519&lt;=MAX(MIN('詳細設定'!$D$8,20),0),MAX('詳細設定'!$D$7,0),IF(B519&lt;=MAX(MIN('詳細設定'!$D$10,20),0),MAX('詳細設定'!$D$9,0),MAX('詳細設定'!$D$11,0)))</x:f>
        <x:v>24</x:v>
      </x:c>
      <x:c r="O519" s="190" t="n">
        <x:f>K519*M519</x:f>
        <x:v>7041.929492543097</x:v>
      </x:c>
      <x:c r="P519" s="190" t="n">
        <x:f>L519*N519</x:f>
        <x:v>5785.518649840982</x:v>
      </x:c>
      <x:c r="Q519" s="190" t="n">
        <x:f>O519+P519</x:f>
        <x:v>12827.448142384079</x:v>
      </x:c>
      <x:c r="R519" s="196" t="n">
        <x:f>J519-K519-L519</x:f>
        <x:v>0</x:v>
      </x:c>
    </x:row>
    <x:row r="520">
      <x:c r="A520" s="20" t="str">
        <x:v>上振れ</x:v>
      </x:c>
      <x:c r="B520" s="20" t="n">
        <x:v>3</x:v>
      </x:c>
      <x:c r="C520" s="20" t="n">
        <x:v>12</x:v>
      </x:c>
      <x:c r="D520" s="189" t="n">
        <x:v>1.1</x:v>
      </x:c>
      <x:c r="E520" s="189" t="n">
        <x:v>0.9</x:v>
      </x:c>
      <x:c r="F520" s="189" t="n">
        <x:f>MAX(MIN('詳細設定'!$D$15+0.05,1),0)</x:f>
        <x:v>0.45</x:v>
      </x:c>
      <x:c r="G520" s="563" t="n">
        <x:f>'_計算月次'!$J$16</x:f>
        <x:v>443.97248688000184</x:v>
      </x:c>
      <x:c r="H520" s="563" t="n">
        <x:f>'_計算月次'!$K$16</x:f>
        <x:v>405</x:v>
      </x:c>
      <x:c r="I520" s="563" t="n">
        <x:f>(1-MAX(MIN('詳細設定'!$D$16,0.999999),0))^(B520-1)</x:f>
        <x:v>1</x:v>
      </x:c>
      <x:c r="J520" s="563" t="n">
        <x:f>MAX(G520*D520*I520,0)</x:f>
        <x:v>488.36973556800206</x:v>
      </x:c>
      <x:c r="K520" s="563" t="n">
        <x:f>MAX(MIN(J520*F520,H520),0)</x:f>
        <x:v>219.76638100560092</x:v>
      </x:c>
      <x:c r="L520" s="563" t="n">
        <x:f>MAX(J520-K520,0)</x:f>
        <x:v>268.60335456240114</x:v>
      </x:c>
      <x:c r="M520" s="185" t="n">
        <x:f>MAX('詳細設定'!$D$6,0)*(1+'詳細設定'!$D$21)^(B520-1)</x:f>
        <x:v>35.7035</x:v>
      </x:c>
      <x:c r="N520" s="185" t="n">
        <x:f>IF(B520&lt;=MAX(MIN('詳細設定'!$D$8,20),0),MAX('詳細設定'!$D$7,0),IF(B520&lt;=MAX(MIN('詳細設定'!$D$10,20),0),MAX('詳細設定'!$D$9,0),MAX('詳細設定'!$D$11,0)))</x:f>
        <x:v>24</x:v>
      </x:c>
      <x:c r="O520" s="190" t="n">
        <x:f>K520*M520</x:f>
        <x:v>7846.428984233472</x:v>
      </x:c>
      <x:c r="P520" s="190" t="n">
        <x:f>L520*N520</x:f>
        <x:v>6446.480509497627</x:v>
      </x:c>
      <x:c r="Q520" s="190" t="n">
        <x:f>O520+P520</x:f>
        <x:v>14292.909493731098</x:v>
      </x:c>
      <x:c r="R520" s="196" t="n">
        <x:f>J520-K520-L520</x:f>
        <x:v>0</x:v>
      </x:c>
    </x:row>
    <x:row r="521">
      <x:c r="A521" s="20" t="str">
        <x:v>上振れ</x:v>
      </x:c>
      <x:c r="B521" s="20" t="n">
        <x:v>4</x:v>
      </x:c>
      <x:c r="C521" s="20" t="n">
        <x:v>1</x:v>
      </x:c>
      <x:c r="D521" s="189" t="n">
        <x:v>1.1</x:v>
      </x:c>
      <x:c r="E521" s="189" t="n">
        <x:v>0.9</x:v>
      </x:c>
      <x:c r="F521" s="189" t="n">
        <x:f>MAX(MIN('詳細設定'!$D$15+0.05,1),0)</x:f>
        <x:v>0.45</x:v>
      </x:c>
      <x:c r="G521" s="563" t="n">
        <x:f>'_計算月次'!$J$5</x:f>
        <x:v>502.4147595742038</x:v>
      </x:c>
      <x:c r="H521" s="563" t="n">
        <x:f>'_計算月次'!$K$5</x:f>
        <x:v>450</x:v>
      </x:c>
      <x:c r="I521" s="563" t="n">
        <x:f>(1-MAX(MIN('詳細設定'!$D$16,0.999999),0))^(B521-1)</x:f>
        <x:v>1</x:v>
      </x:c>
      <x:c r="J521" s="563" t="n">
        <x:f>MAX(G521*D521*I521,0)</x:f>
        <x:v>552.6562355316242</x:v>
      </x:c>
      <x:c r="K521" s="563" t="n">
        <x:f>MAX(MIN(J521*F521,H521),0)</x:f>
        <x:v>248.69530598923092</x:v>
      </x:c>
      <x:c r="L521" s="563" t="n">
        <x:f>MAX(J521-K521,0)</x:f>
        <x:v>303.96092954239333</x:v>
      </x:c>
      <x:c r="M521" s="185" t="n">
        <x:f>MAX('詳細設定'!$D$6,0)*(1+'詳細設定'!$D$21)^(B521-1)</x:f>
        <x:v>36.060535</x:v>
      </x:c>
      <x:c r="N521" s="185" t="n">
        <x:f>IF(B521&lt;=MAX(MIN('詳細設定'!$D$8,20),0),MAX('詳細設定'!$D$7,0),IF(B521&lt;=MAX(MIN('詳細設定'!$D$10,20),0),MAX('詳細設定'!$D$9,0),MAX('詳細設定'!$D$11,0)))</x:f>
        <x:v>24</x:v>
      </x:c>
      <x:c r="O521" s="190" t="n">
        <x:f>K521*M521</x:f>
        <x:v>8968.085785960371</x:v>
      </x:c>
      <x:c r="P521" s="190" t="n">
        <x:f>L521*N521</x:f>
        <x:v>7295.0623090174395</x:v>
      </x:c>
      <x:c r="Q521" s="190" t="n">
        <x:f>O521+P521</x:f>
        <x:v>16263.14809497781</x:v>
      </x:c>
      <x:c r="R521" s="196" t="n">
        <x:f>J521-K521-L521</x:f>
        <x:v>0</x:v>
      </x:c>
    </x:row>
    <x:row r="522">
      <x:c r="A522" s="20" t="str">
        <x:v>上振れ</x:v>
      </x:c>
      <x:c r="B522" s="20" t="n">
        <x:v>4</x:v>
      </x:c>
      <x:c r="C522" s="20" t="n">
        <x:v>2</x:v>
      </x:c>
      <x:c r="D522" s="189" t="n">
        <x:v>1.1</x:v>
      </x:c>
      <x:c r="E522" s="189" t="n">
        <x:v>0.9</x:v>
      </x:c>
      <x:c r="F522" s="189" t="n">
        <x:f>MAX(MIN('詳細設定'!$D$15+0.05,1),0)</x:f>
        <x:v>0.45</x:v>
      </x:c>
      <x:c r="G522" s="563" t="n">
        <x:f>'_計算月次'!$J$6</x:f>
        <x:v>472.4508339500229</x:v>
      </x:c>
      <x:c r="H522" s="563" t="n">
        <x:f>'_計算月次'!$K$6</x:f>
        <x:v>405</x:v>
      </x:c>
      <x:c r="I522" s="563" t="n">
        <x:f>(1-MAX(MIN('詳細設定'!$D$16,0.999999),0))^(B522-1)</x:f>
        <x:v>1</x:v>
      </x:c>
      <x:c r="J522" s="563" t="n">
        <x:f>MAX(G522*D522*I522,0)</x:f>
        <x:v>519.6959173450252</x:v>
      </x:c>
      <x:c r="K522" s="563" t="n">
        <x:f>MAX(MIN(J522*F522,H522),0)</x:f>
        <x:v>233.86316280526137</x:v>
      </x:c>
      <x:c r="L522" s="563" t="n">
        <x:f>MAX(J522-K522,0)</x:f>
        <x:v>285.83275453976387</x:v>
      </x:c>
      <x:c r="M522" s="185" t="n">
        <x:f>MAX('詳細設定'!$D$6,0)*(1+'詳細設定'!$D$21)^(B522-1)</x:f>
        <x:v>36.060535</x:v>
      </x:c>
      <x:c r="N522" s="185" t="n">
        <x:f>IF(B522&lt;=MAX(MIN('詳細設定'!$D$8,20),0),MAX('詳細設定'!$D$7,0),IF(B522&lt;=MAX(MIN('詳細設定'!$D$10,20),0),MAX('詳細設定'!$D$9,0),MAX('詳細設定'!$D$11,0)))</x:f>
        <x:v>24</x:v>
      </x:c>
      <x:c r="O522" s="190" t="n">
        <x:f>K522*M522</x:f>
        <x:v>8433.230767549827</x:v>
      </x:c>
      <x:c r="P522" s="190" t="n">
        <x:f>L522*N522</x:f>
        <x:v>6859.986108954333</x:v>
      </x:c>
      <x:c r="Q522" s="190" t="n">
        <x:f>O522+P522</x:f>
        <x:v>15293.21687650416</x:v>
      </x:c>
      <x:c r="R522" s="196" t="n">
        <x:f>J522-K522-L522</x:f>
        <x:v>0</x:v>
      </x:c>
    </x:row>
    <x:row r="523">
      <x:c r="A523" s="20" t="str">
        <x:v>上振れ</x:v>
      </x:c>
      <x:c r="B523" s="20" t="n">
        <x:v>4</x:v>
      </x:c>
      <x:c r="C523" s="20" t="n">
        <x:v>3</x:v>
      </x:c>
      <x:c r="D523" s="189" t="n">
        <x:v>1.1</x:v>
      </x:c>
      <x:c r="E523" s="189" t="n">
        <x:v>0.9</x:v>
      </x:c>
      <x:c r="F523" s="189" t="n">
        <x:f>MAX(MIN('詳細設定'!$D$15+0.05,1),0)</x:f>
        <x:v>0.45</x:v>
      </x:c>
      <x:c r="G523" s="563" t="n">
        <x:f>'_計算月次'!$J$7</x:f>
        <x:v>548.3418864753118</x:v>
      </x:c>
      <x:c r="H523" s="563" t="n">
        <x:f>'_計算月次'!$K$7</x:f>
        <x:v>360</x:v>
      </x:c>
      <x:c r="I523" s="563" t="n">
        <x:f>(1-MAX(MIN('詳細設定'!$D$16,0.999999),0))^(B523-1)</x:f>
        <x:v>1</x:v>
      </x:c>
      <x:c r="J523" s="563" t="n">
        <x:f>MAX(G523*D523*I523,0)</x:f>
        <x:v>603.176075122843</x:v>
      </x:c>
      <x:c r="K523" s="563" t="n">
        <x:f>MAX(MIN(J523*F523,H523),0)</x:f>
        <x:v>271.42923380527935</x:v>
      </x:c>
      <x:c r="L523" s="563" t="n">
        <x:f>MAX(J523-K523,0)</x:f>
        <x:v>331.7468413175637</x:v>
      </x:c>
      <x:c r="M523" s="185" t="n">
        <x:f>MAX('詳細設定'!$D$6,0)*(1+'詳細設定'!$D$21)^(B523-1)</x:f>
        <x:v>36.060535</x:v>
      </x:c>
      <x:c r="N523" s="185" t="n">
        <x:f>IF(B523&lt;=MAX(MIN('詳細設定'!$D$8,20),0),MAX('詳細設定'!$D$7,0),IF(B523&lt;=MAX(MIN('詳細設定'!$D$10,20),0),MAX('詳細設定'!$D$9,0),MAX('詳細設定'!$D$11,0)))</x:f>
        <x:v>24</x:v>
      </x:c>
      <x:c r="O523" s="190" t="n">
        <x:f>K523*M523</x:f>
        <x:v>9787.883385658459</x:v>
      </x:c>
      <x:c r="P523" s="190" t="n">
        <x:f>L523*N523</x:f>
        <x:v>7961.924191621529</x:v>
      </x:c>
      <x:c r="Q523" s="190" t="n">
        <x:f>O523+P523</x:f>
        <x:v>17749.807577279986</x:v>
      </x:c>
      <x:c r="R523" s="196" t="n">
        <x:f>J523-K523-L523</x:f>
        <x:v>0</x:v>
      </x:c>
    </x:row>
    <x:row r="524">
      <x:c r="A524" s="20" t="str">
        <x:v>上振れ</x:v>
      </x:c>
      <x:c r="B524" s="20" t="n">
        <x:v>4</x:v>
      </x:c>
      <x:c r="C524" s="20" t="n">
        <x:v>4</x:v>
      </x:c>
      <x:c r="D524" s="189" t="n">
        <x:v>1.1</x:v>
      </x:c>
      <x:c r="E524" s="189" t="n">
        <x:v>0.9</x:v>
      </x:c>
      <x:c r="F524" s="189" t="n">
        <x:f>MAX(MIN('詳細設定'!$D$15+0.05,1),0)</x:f>
        <x:v>0.45</x:v>
      </x:c>
      <x:c r="G524" s="563" t="n">
        <x:f>'_計算月次'!$J$8</x:f>
        <x:v>548.3944393749554</x:v>
      </x:c>
      <x:c r="H524" s="563" t="n">
        <x:f>'_計算月次'!$K$8</x:f>
        <x:v>315.00000000000006</x:v>
      </x:c>
      <x:c r="I524" s="563" t="n">
        <x:f>(1-MAX(MIN('詳細設定'!$D$16,0.999999),0))^(B524-1)</x:f>
        <x:v>1</x:v>
      </x:c>
      <x:c r="J524" s="563" t="n">
        <x:f>MAX(G524*D524*I524,0)</x:f>
        <x:v>603.233883312451</x:v>
      </x:c>
      <x:c r="K524" s="563" t="n">
        <x:f>MAX(MIN(J524*F524,H524),0)</x:f>
        <x:v>271.45524749060297</x:v>
      </x:c>
      <x:c r="L524" s="563" t="n">
        <x:f>MAX(J524-K524,0)</x:f>
        <x:v>331.778635821848</x:v>
      </x:c>
      <x:c r="M524" s="185" t="n">
        <x:f>MAX('詳細設定'!$D$6,0)*(1+'詳細設定'!$D$21)^(B524-1)</x:f>
        <x:v>36.060535</x:v>
      </x:c>
      <x:c r="N524" s="185" t="n">
        <x:f>IF(B524&lt;=MAX(MIN('詳細設定'!$D$8,20),0),MAX('詳細設定'!$D$7,0),IF(B524&lt;=MAX(MIN('詳細設定'!$D$10,20),0),MAX('詳細設定'!$D$9,0),MAX('詳細設定'!$D$11,0)))</x:f>
        <x:v>24</x:v>
      </x:c>
      <x:c r="O524" s="190" t="n">
        <x:f>K524*M524</x:f>
        <x:v>9788.82145306855</x:v>
      </x:c>
      <x:c r="P524" s="190" t="n">
        <x:f>L524*N524</x:f>
        <x:v>7962.687259724353</x:v>
      </x:c>
      <x:c r="Q524" s="190" t="n">
        <x:f>O524+P524</x:f>
        <x:v>17751.508712792904</x:v>
      </x:c>
      <x:c r="R524" s="196" t="n">
        <x:f>J524-K524-L524</x:f>
        <x:v>0</x:v>
      </x:c>
    </x:row>
    <x:row r="525">
      <x:c r="A525" s="20" t="str">
        <x:v>上振れ</x:v>
      </x:c>
      <x:c r="B525" s="20" t="n">
        <x:v>4</x:v>
      </x:c>
      <x:c r="C525" s="20" t="n">
        <x:v>5</x:v>
      </x:c>
      <x:c r="D525" s="189" t="n">
        <x:v>1.1</x:v>
      </x:c>
      <x:c r="E525" s="189" t="n">
        <x:v>0.9</x:v>
      </x:c>
      <x:c r="F525" s="189" t="n">
        <x:f>MAX(MIN('詳細設定'!$D$15+0.05,1),0)</x:f>
        <x:v>0.45</x:v>
      </x:c>
      <x:c r="G525" s="563" t="n">
        <x:f>'_計算月次'!$J$9</x:f>
        <x:v>552.2367574934775</x:v>
      </x:c>
      <x:c r="H525" s="563" t="n">
        <x:f>'_計算月次'!$K$9</x:f>
        <x:v>315.00000000000006</x:v>
      </x:c>
      <x:c r="I525" s="563" t="n">
        <x:f>(1-MAX(MIN('詳細設定'!$D$16,0.999999),0))^(B525-1)</x:f>
        <x:v>1</x:v>
      </x:c>
      <x:c r="J525" s="563" t="n">
        <x:f>MAX(G525*D525*I525,0)</x:f>
        <x:v>607.4604332428253</x:v>
      </x:c>
      <x:c r="K525" s="563" t="n">
        <x:f>MAX(MIN(J525*F525,H525),0)</x:f>
        <x:v>273.3571949592714</x:v>
      </x:c>
      <x:c r="L525" s="563" t="n">
        <x:f>MAX(J525-K525,0)</x:f>
        <x:v>334.1032382835539</x:v>
      </x:c>
      <x:c r="M525" s="185" t="n">
        <x:f>MAX('詳細設定'!$D$6,0)*(1+'詳細設定'!$D$21)^(B525-1)</x:f>
        <x:v>36.060535</x:v>
      </x:c>
      <x:c r="N525" s="185" t="n">
        <x:f>IF(B525&lt;=MAX(MIN('詳細設定'!$D$8,20),0),MAX('詳細設定'!$D$7,0),IF(B525&lt;=MAX(MIN('詳細設定'!$D$10,20),0),MAX('詳細設定'!$D$9,0),MAX('詳細設定'!$D$11,0)))</x:f>
        <x:v>24</x:v>
      </x:c>
      <x:c r="O525" s="190" t="n">
        <x:f>K525*M525</x:f>
        <x:v>9857.40669633063</x:v>
      </x:c>
      <x:c r="P525" s="190" t="n">
        <x:f>L525*N525</x:f>
        <x:v>8018.477718805293</x:v>
      </x:c>
      <x:c r="Q525" s="190" t="n">
        <x:f>O525+P525</x:f>
        <x:v>17875.884415135923</x:v>
      </x:c>
      <x:c r="R525" s="196" t="n">
        <x:f>J525-K525-L525</x:f>
        <x:v>0</x:v>
      </x:c>
    </x:row>
    <x:row r="526">
      <x:c r="A526" s="20" t="str">
        <x:v>上振れ</x:v>
      </x:c>
      <x:c r="B526" s="20" t="n">
        <x:v>4</x:v>
      </x:c>
      <x:c r="C526" s="20" t="n">
        <x:v>6</x:v>
      </x:c>
      <x:c r="D526" s="189" t="n">
        <x:v>1.1</x:v>
      </x:c>
      <x:c r="E526" s="189" t="n">
        <x:v>0.9</x:v>
      </x:c>
      <x:c r="F526" s="189" t="n">
        <x:f>MAX(MIN('詳細設定'!$D$15+0.05,1),0)</x:f>
        <x:v>0.45</x:v>
      </x:c>
      <x:c r="G526" s="563" t="n">
        <x:f>'_計算月次'!$J$10</x:f>
        <x:v>448.7994857612148</x:v>
      </x:c>
      <x:c r="H526" s="563" t="n">
        <x:f>'_計算月次'!$K$10</x:f>
        <x:v>360</x:v>
      </x:c>
      <x:c r="I526" s="563" t="n">
        <x:f>(1-MAX(MIN('詳細設定'!$D$16,0.999999),0))^(B526-1)</x:f>
        <x:v>1</x:v>
      </x:c>
      <x:c r="J526" s="563" t="n">
        <x:f>MAX(G526*D526*I526,0)</x:f>
        <x:v>493.6794343373363</x:v>
      </x:c>
      <x:c r="K526" s="563" t="n">
        <x:f>MAX(MIN(J526*F526,H526),0)</x:f>
        <x:v>222.15574545180135</x:v>
      </x:c>
      <x:c r="L526" s="563" t="n">
        <x:f>MAX(J526-K526,0)</x:f>
        <x:v>271.52368888553497</x:v>
      </x:c>
      <x:c r="M526" s="185" t="n">
        <x:f>MAX('詳細設定'!$D$6,0)*(1+'詳細設定'!$D$21)^(B526-1)</x:f>
        <x:v>36.060535</x:v>
      </x:c>
      <x:c r="N526" s="185" t="n">
        <x:f>IF(B526&lt;=MAX(MIN('詳細設定'!$D$8,20),0),MAX('詳細設定'!$D$7,0),IF(B526&lt;=MAX(MIN('詳細設定'!$D$10,20),0),MAX('詳細設定'!$D$9,0),MAX('詳細設定'!$D$11,0)))</x:f>
        <x:v>24</x:v>
      </x:c>
      <x:c r="O526" s="190" t="n">
        <x:f>K526*M526</x:f>
        <x:v>8011.055034315774</x:v>
      </x:c>
      <x:c r="P526" s="190" t="n">
        <x:f>L526*N526</x:f>
        <x:v>6516.568533252839</x:v>
      </x:c>
      <x:c r="Q526" s="190" t="n">
        <x:f>O526+P526</x:f>
        <x:v>14527.623567568613</x:v>
      </x:c>
      <x:c r="R526" s="196" t="n">
        <x:f>J526-K526-L526</x:f>
        <x:v>0</x:v>
      </x:c>
    </x:row>
    <x:row r="527">
      <x:c r="A527" s="20" t="str">
        <x:v>上振れ</x:v>
      </x:c>
      <x:c r="B527" s="20" t="n">
        <x:v>4</x:v>
      </x:c>
      <x:c r="C527" s="20" t="n">
        <x:v>7</x:v>
      </x:c>
      <x:c r="D527" s="189" t="n">
        <x:v>1.1</x:v>
      </x:c>
      <x:c r="E527" s="189" t="n">
        <x:v>0.9</x:v>
      </x:c>
      <x:c r="F527" s="189" t="n">
        <x:f>MAX(MIN('詳細設定'!$D$15+0.05,1),0)</x:f>
        <x:v>0.45</x:v>
      </x:c>
      <x:c r="G527" s="563" t="n">
        <x:f>'_計算月次'!$J$11</x:f>
        <x:v>476.0181638067866</x:v>
      </x:c>
      <x:c r="H527" s="563" t="n">
        <x:f>'_計算月次'!$K$11</x:f>
        <x:v>405</x:v>
      </x:c>
      <x:c r="I527" s="563" t="n">
        <x:f>(1-MAX(MIN('詳細設定'!$D$16,0.999999),0))^(B527-1)</x:f>
        <x:v>1</x:v>
      </x:c>
      <x:c r="J527" s="563" t="n">
        <x:f>MAX(G527*D527*I527,0)</x:f>
        <x:v>523.6199801874653</x:v>
      </x:c>
      <x:c r="K527" s="563" t="n">
        <x:f>MAX(MIN(J527*F527,H527),0)</x:f>
        <x:v>235.6289910843594</x:v>
      </x:c>
      <x:c r="L527" s="563" t="n">
        <x:f>MAX(J527-K527,0)</x:f>
        <x:v>287.9909891031059</x:v>
      </x:c>
      <x:c r="M527" s="185" t="n">
        <x:f>MAX('詳細設定'!$D$6,0)*(1+'詳細設定'!$D$21)^(B527-1)</x:f>
        <x:v>36.060535</x:v>
      </x:c>
      <x:c r="N527" s="185" t="n">
        <x:f>IF(B527&lt;=MAX(MIN('詳細設定'!$D$8,20),0),MAX('詳細設定'!$D$7,0),IF(B527&lt;=MAX(MIN('詳細設定'!$D$10,20),0),MAX('詳細設定'!$D$9,0),MAX('詳細設定'!$D$11,0)))</x:f>
        <x:v>24</x:v>
      </x:c>
      <x:c r="O527" s="190" t="n">
        <x:f>K527*M527</x:f>
        <x:v>8496.90748001223</x:v>
      </x:c>
      <x:c r="P527" s="190" t="n">
        <x:f>L527*N527</x:f>
        <x:v>6911.783738474542</x:v>
      </x:c>
      <x:c r="Q527" s="190" t="n">
        <x:f>O527+P527</x:f>
        <x:v>15408.691218486772</x:v>
      </x:c>
      <x:c r="R527" s="196" t="n">
        <x:f>J527-K527-L527</x:f>
        <x:v>0</x:v>
      </x:c>
    </x:row>
    <x:row r="528">
      <x:c r="A528" s="20" t="str">
        <x:v>上振れ</x:v>
      </x:c>
      <x:c r="B528" s="20" t="n">
        <x:v>4</x:v>
      </x:c>
      <x:c r="C528" s="20" t="n">
        <x:v>8</x:v>
      </x:c>
      <x:c r="D528" s="189" t="n">
        <x:v>1.1</x:v>
      </x:c>
      <x:c r="E528" s="189" t="n">
        <x:v>0.9</x:v>
      </x:c>
      <x:c r="F528" s="189" t="n">
        <x:f>MAX(MIN('詳細設定'!$D$15+0.05,1),0)</x:f>
        <x:v>0.45</x:v>
      </x:c>
      <x:c r="G528" s="563" t="n">
        <x:f>'_計算月次'!$J$12</x:f>
        <x:v>528.6548067323699</x:v>
      </x:c>
      <x:c r="H528" s="563" t="n">
        <x:f>'_計算月次'!$K$12</x:f>
        <x:v>450</x:v>
      </x:c>
      <x:c r="I528" s="563" t="n">
        <x:f>(1-MAX(MIN('詳細設定'!$D$16,0.999999),0))^(B528-1)</x:f>
        <x:v>1</x:v>
      </x:c>
      <x:c r="J528" s="563" t="n">
        <x:f>MAX(G528*D528*I528,0)</x:f>
        <x:v>581.520287405607</x:v>
      </x:c>
      <x:c r="K528" s="563" t="n">
        <x:f>MAX(MIN(J528*F528,H528),0)</x:f>
        <x:v>261.6841293325231</x:v>
      </x:c>
      <x:c r="L528" s="563" t="n">
        <x:f>MAX(J528-K528,0)</x:f>
        <x:v>319.8361580730838</x:v>
      </x:c>
      <x:c r="M528" s="185" t="n">
        <x:f>MAX('詳細設定'!$D$6,0)*(1+'詳細設定'!$D$21)^(B528-1)</x:f>
        <x:v>36.060535</x:v>
      </x:c>
      <x:c r="N528" s="185" t="n">
        <x:f>IF(B528&lt;=MAX(MIN('詳細設定'!$D$8,20),0),MAX('詳細設定'!$D$7,0),IF(B528&lt;=MAX(MIN('詳細設定'!$D$10,20),0),MAX('詳細設定'!$D$9,0),MAX('詳細設定'!$D$11,0)))</x:f>
        <x:v>24</x:v>
      </x:c>
      <x:c r="O528" s="190" t="n">
        <x:f>K528*M528</x:f>
        <x:v>9436.469704739977</x:v>
      </x:c>
      <x:c r="P528" s="190" t="n">
        <x:f>L528*N528</x:f>
        <x:v>7676.067793754011</x:v>
      </x:c>
      <x:c r="Q528" s="190" t="n">
        <x:f>O528+P528</x:f>
        <x:v>17112.537498493988</x:v>
      </x:c>
      <x:c r="R528" s="196" t="n">
        <x:f>J528-K528-L528</x:f>
        <x:v>0</x:v>
      </x:c>
    </x:row>
    <x:row r="529">
      <x:c r="A529" s="20" t="str">
        <x:v>上振れ</x:v>
      </x:c>
      <x:c r="B529" s="20" t="n">
        <x:v>4</x:v>
      </x:c>
      <x:c r="C529" s="20" t="n">
        <x:v>9</x:v>
      </x:c>
      <x:c r="D529" s="189" t="n">
        <x:v>1.1</x:v>
      </x:c>
      <x:c r="E529" s="189" t="n">
        <x:v>0.9</x:v>
      </x:c>
      <x:c r="F529" s="189" t="n">
        <x:f>MAX(MIN('詳細設定'!$D$15+0.05,1),0)</x:f>
        <x:v>0.45</x:v>
      </x:c>
      <x:c r="G529" s="563" t="n">
        <x:f>'_計算月次'!$J$13</x:f>
        <x:v>436.37734765103465</x:v>
      </x:c>
      <x:c r="H529" s="563" t="n">
        <x:f>'_計算月次'!$K$13</x:f>
        <x:v>360</x:v>
      </x:c>
      <x:c r="I529" s="563" t="n">
        <x:f>(1-MAX(MIN('詳細設定'!$D$16,0.999999),0))^(B529-1)</x:f>
        <x:v>1</x:v>
      </x:c>
      <x:c r="J529" s="563" t="n">
        <x:f>MAX(G529*D529*I529,0)</x:f>
        <x:v>480.01508241613817</x:v>
      </x:c>
      <x:c r="K529" s="563" t="n">
        <x:f>MAX(MIN(J529*F529,H529),0)</x:f>
        <x:v>216.00678708726218</x:v>
      </x:c>
      <x:c r="L529" s="563" t="n">
        <x:f>MAX(J529-K529,0)</x:f>
        <x:v>264.008295328876</x:v>
      </x:c>
      <x:c r="M529" s="185" t="n">
        <x:f>MAX('詳細設定'!$D$6,0)*(1+'詳細設定'!$D$21)^(B529-1)</x:f>
        <x:v>36.060535</x:v>
      </x:c>
      <x:c r="N529" s="185" t="n">
        <x:f>IF(B529&lt;=MAX(MIN('詳細設定'!$D$8,20),0),MAX('詳細設定'!$D$7,0),IF(B529&lt;=MAX(MIN('詳細設定'!$D$10,20),0),MAX('詳細設定'!$D$9,0),MAX('詳細設定'!$D$11,0)))</x:f>
        <x:v>24</x:v>
      </x:c>
      <x:c r="O529" s="190" t="n">
        <x:f>K529*M529</x:f>
        <x:v>7789.320305997766</x:v>
      </x:c>
      <x:c r="P529" s="190" t="n">
        <x:f>L529*N529</x:f>
        <x:v>6336.199087893024</x:v>
      </x:c>
      <x:c r="Q529" s="190" t="n">
        <x:f>O529+P529</x:f>
        <x:v>14125.51939389079</x:v>
      </x:c>
      <x:c r="R529" s="196" t="n">
        <x:f>J529-K529-L529</x:f>
        <x:v>0</x:v>
      </x:c>
    </x:row>
    <x:row r="530">
      <x:c r="A530" s="20" t="str">
        <x:v>上振れ</x:v>
      </x:c>
      <x:c r="B530" s="20" t="n">
        <x:v>4</x:v>
      </x:c>
      <x:c r="C530" s="20" t="n">
        <x:v>10</x:v>
      </x:c>
      <x:c r="D530" s="189" t="n">
        <x:v>1.1</x:v>
      </x:c>
      <x:c r="E530" s="189" t="n">
        <x:v>0.9</x:v>
      </x:c>
      <x:c r="F530" s="189" t="n">
        <x:f>MAX(MIN('詳細設定'!$D$15+0.05,1),0)</x:f>
        <x:v>0.45</x:v>
      </x:c>
      <x:c r="G530" s="563" t="n">
        <x:f>'_計算月次'!$J$14</x:f>
        <x:v>408.8269849869007</x:v>
      </x:c>
      <x:c r="H530" s="563" t="n">
        <x:f>'_計算月次'!$K$14</x:f>
        <x:v>315.00000000000006</x:v>
      </x:c>
      <x:c r="I530" s="563" t="n">
        <x:f>(1-MAX(MIN('詳細設定'!$D$16,0.999999),0))^(B530-1)</x:f>
        <x:v>1</x:v>
      </x:c>
      <x:c r="J530" s="563" t="n">
        <x:f>MAX(G530*D530*I530,0)</x:f>
        <x:v>449.7096834855908</x:v>
      </x:c>
      <x:c r="K530" s="563" t="n">
        <x:f>MAX(MIN(J530*F530,H530),0)</x:f>
        <x:v>202.36935756851585</x:v>
      </x:c>
      <x:c r="L530" s="563" t="n">
        <x:f>MAX(J530-K530,0)</x:f>
        <x:v>247.34032591707495</x:v>
      </x:c>
      <x:c r="M530" s="185" t="n">
        <x:f>MAX('詳細設定'!$D$6,0)*(1+'詳細設定'!$D$21)^(B530-1)</x:f>
        <x:v>36.060535</x:v>
      </x:c>
      <x:c r="N530" s="185" t="n">
        <x:f>IF(B530&lt;=MAX(MIN('詳細設定'!$D$8,20),0),MAX('詳細設定'!$D$7,0),IF(B530&lt;=MAX(MIN('詳細設定'!$D$10,20),0),MAX('詳細設定'!$D$9,0),MAX('詳細設定'!$D$11,0)))</x:f>
        <x:v>24</x:v>
      </x:c>
      <x:c r="O530" s="190" t="n">
        <x:f>K530*M530</x:f>
        <x:v>7297.547301526981</x:v>
      </x:c>
      <x:c r="P530" s="190" t="n">
        <x:f>L530*N530</x:f>
        <x:v>5936.167822009798</x:v>
      </x:c>
      <x:c r="Q530" s="190" t="n">
        <x:f>O530+P530</x:f>
        <x:v>13233.715123536778</x:v>
      </x:c>
      <x:c r="R530" s="196" t="n">
        <x:f>J530-K530-L530</x:f>
        <x:v>0</x:v>
      </x:c>
    </x:row>
    <x:row r="531">
      <x:c r="A531" s="20" t="str">
        <x:v>上振れ</x:v>
      </x:c>
      <x:c r="B531" s="20" t="n">
        <x:v>4</x:v>
      </x:c>
      <x:c r="C531" s="20" t="n">
        <x:v>11</x:v>
      </x:c>
      <x:c r="D531" s="189" t="n">
        <x:v>1.1</x:v>
      </x:c>
      <x:c r="E531" s="189" t="n">
        <x:v>0.9</x:v>
      </x:c>
      <x:c r="F531" s="189" t="n">
        <x:f>MAX(MIN('詳細設定'!$D$15+0.05,1),0)</x:f>
        <x:v>0.45</x:v>
      </x:c>
      <x:c r="G531" s="563" t="n">
        <x:f>'_計算月次'!$J$15</x:f>
        <x:v>398.45169764745054</x:v>
      </x:c>
      <x:c r="H531" s="563" t="n">
        <x:f>'_計算月次'!$K$15</x:f>
        <x:v>360</x:v>
      </x:c>
      <x:c r="I531" s="563" t="n">
        <x:f>(1-MAX(MIN('詳細設定'!$D$16,0.999999),0))^(B531-1)</x:f>
        <x:v>1</x:v>
      </x:c>
      <x:c r="J531" s="563" t="n">
        <x:f>MAX(G531*D531*I531,0)</x:f>
        <x:v>438.29686741219564</x:v>
      </x:c>
      <x:c r="K531" s="563" t="n">
        <x:f>MAX(MIN(J531*F531,H531),0)</x:f>
        <x:v>197.23359033548803</x:v>
      </x:c>
      <x:c r="L531" s="563" t="n">
        <x:f>MAX(J531-K531,0)</x:f>
        <x:v>241.0632770767076</x:v>
      </x:c>
      <x:c r="M531" s="185" t="n">
        <x:f>MAX('詳細設定'!$D$6,0)*(1+'詳細設定'!$D$21)^(B531-1)</x:f>
        <x:v>36.060535</x:v>
      </x:c>
      <x:c r="N531" s="185" t="n">
        <x:f>IF(B531&lt;=MAX(MIN('詳細設定'!$D$8,20),0),MAX('詳細設定'!$D$7,0),IF(B531&lt;=MAX(MIN('詳細設定'!$D$10,20),0),MAX('詳細設定'!$D$9,0),MAX('詳細設定'!$D$11,0)))</x:f>
        <x:v>24</x:v>
      </x:c>
      <x:c r="O531" s="190" t="n">
        <x:f>K531*M531</x:f>
        <x:v>7112.348787468528</x:v>
      </x:c>
      <x:c r="P531" s="190" t="n">
        <x:f>L531*N531</x:f>
        <x:v>5785.518649840982</x:v>
      </x:c>
      <x:c r="Q531" s="190" t="n">
        <x:f>O531+P531</x:f>
        <x:v>12897.86743730951</x:v>
      </x:c>
      <x:c r="R531" s="196" t="n">
        <x:f>J531-K531-L531</x:f>
        <x:v>0</x:v>
      </x:c>
    </x:row>
    <x:row r="532">
      <x:c r="A532" s="20" t="str">
        <x:v>上振れ</x:v>
      </x:c>
      <x:c r="B532" s="20" t="n">
        <x:v>4</x:v>
      </x:c>
      <x:c r="C532" s="20" t="n">
        <x:v>12</x:v>
      </x:c>
      <x:c r="D532" s="189" t="n">
        <x:v>1.1</x:v>
      </x:c>
      <x:c r="E532" s="189" t="n">
        <x:v>0.9</x:v>
      </x:c>
      <x:c r="F532" s="189" t="n">
        <x:f>MAX(MIN('詳細設定'!$D$15+0.05,1),0)</x:f>
        <x:v>0.45</x:v>
      </x:c>
      <x:c r="G532" s="563" t="n">
        <x:f>'_計算月次'!$J$16</x:f>
        <x:v>443.97248688000184</x:v>
      </x:c>
      <x:c r="H532" s="563" t="n">
        <x:f>'_計算月次'!$K$16</x:f>
        <x:v>405</x:v>
      </x:c>
      <x:c r="I532" s="563" t="n">
        <x:f>(1-MAX(MIN('詳細設定'!$D$16,0.999999),0))^(B532-1)</x:f>
        <x:v>1</x:v>
      </x:c>
      <x:c r="J532" s="563" t="n">
        <x:f>MAX(G532*D532*I532,0)</x:f>
        <x:v>488.36973556800206</x:v>
      </x:c>
      <x:c r="K532" s="563" t="n">
        <x:f>MAX(MIN(J532*F532,H532),0)</x:f>
        <x:v>219.76638100560092</x:v>
      </x:c>
      <x:c r="L532" s="563" t="n">
        <x:f>MAX(J532-K532,0)</x:f>
        <x:v>268.60335456240114</x:v>
      </x:c>
      <x:c r="M532" s="185" t="n">
        <x:f>MAX('詳細設定'!$D$6,0)*(1+'詳細設定'!$D$21)^(B532-1)</x:f>
        <x:v>36.060535</x:v>
      </x:c>
      <x:c r="N532" s="185" t="n">
        <x:f>IF(B532&lt;=MAX(MIN('詳細設定'!$D$8,20),0),MAX('詳細設定'!$D$7,0),IF(B532&lt;=MAX(MIN('詳細設定'!$D$10,20),0),MAX('詳細設定'!$D$9,0),MAX('詳細設定'!$D$11,0)))</x:f>
        <x:v>24</x:v>
      </x:c>
      <x:c r="O532" s="190" t="n">
        <x:f>K532*M532</x:f>
        <x:v>7924.893274075807</x:v>
      </x:c>
      <x:c r="P532" s="190" t="n">
        <x:f>L532*N532</x:f>
        <x:v>6446.480509497627</x:v>
      </x:c>
      <x:c r="Q532" s="190" t="n">
        <x:f>O532+P532</x:f>
        <x:v>14371.373783573436</x:v>
      </x:c>
      <x:c r="R532" s="196" t="n">
        <x:f>J532-K532-L532</x:f>
        <x:v>0</x:v>
      </x:c>
    </x:row>
    <x:row r="533">
      <x:c r="A533" s="20" t="str">
        <x:v>上振れ</x:v>
      </x:c>
      <x:c r="B533" s="20" t="n">
        <x:v>5</x:v>
      </x:c>
      <x:c r="C533" s="20" t="n">
        <x:v>1</x:v>
      </x:c>
      <x:c r="D533" s="189" t="n">
        <x:v>1.1</x:v>
      </x:c>
      <x:c r="E533" s="189" t="n">
        <x:v>0.9</x:v>
      </x:c>
      <x:c r="F533" s="189" t="n">
        <x:f>MAX(MIN('詳細設定'!$D$15+0.05,1),0)</x:f>
        <x:v>0.45</x:v>
      </x:c>
      <x:c r="G533" s="563" t="n">
        <x:f>'_計算月次'!$J$5</x:f>
        <x:v>502.4147595742038</x:v>
      </x:c>
      <x:c r="H533" s="563" t="n">
        <x:f>'_計算月次'!$K$5</x:f>
        <x:v>450</x:v>
      </x:c>
      <x:c r="I533" s="563" t="n">
        <x:f>(1-MAX(MIN('詳細設定'!$D$16,0.999999),0))^(B533-1)</x:f>
        <x:v>1</x:v>
      </x:c>
      <x:c r="J533" s="563" t="n">
        <x:f>MAX(G533*D533*I533,0)</x:f>
        <x:v>552.6562355316242</x:v>
      </x:c>
      <x:c r="K533" s="563" t="n">
        <x:f>MAX(MIN(J533*F533,H533),0)</x:f>
        <x:v>248.69530598923092</x:v>
      </x:c>
      <x:c r="L533" s="563" t="n">
        <x:f>MAX(J533-K533,0)</x:f>
        <x:v>303.96092954239333</x:v>
      </x:c>
      <x:c r="M533" s="185" t="n">
        <x:f>MAX('詳細設定'!$D$6,0)*(1+'詳細設定'!$D$21)^(B533-1)</x:f>
        <x:v>36.42114035</x:v>
      </x:c>
      <x:c r="N533" s="185" t="n">
        <x:f>IF(B533&lt;=MAX(MIN('詳細設定'!$D$8,20),0),MAX('詳細設定'!$D$7,0),IF(B533&lt;=MAX(MIN('詳細設定'!$D$10,20),0),MAX('詳細設定'!$D$9,0),MAX('詳細設定'!$D$11,0)))</x:f>
        <x:v>8.3</x:v>
      </x:c>
      <x:c r="O533" s="190" t="n">
        <x:f>K533*M533</x:f>
        <x:v>9057.766643819976</x:v>
      </x:c>
      <x:c r="P533" s="190" t="n">
        <x:f>L533*N533</x:f>
        <x:v>2522.8757152018648</x:v>
      </x:c>
      <x:c r="Q533" s="190" t="n">
        <x:f>O533+P533</x:f>
        <x:v>11580.64235902184</x:v>
      </x:c>
      <x:c r="R533" s="196" t="n">
        <x:f>J533-K533-L533</x:f>
        <x:v>0</x:v>
      </x:c>
    </x:row>
    <x:row r="534">
      <x:c r="A534" s="20" t="str">
        <x:v>上振れ</x:v>
      </x:c>
      <x:c r="B534" s="20" t="n">
        <x:v>5</x:v>
      </x:c>
      <x:c r="C534" s="20" t="n">
        <x:v>2</x:v>
      </x:c>
      <x:c r="D534" s="189" t="n">
        <x:v>1.1</x:v>
      </x:c>
      <x:c r="E534" s="189" t="n">
        <x:v>0.9</x:v>
      </x:c>
      <x:c r="F534" s="189" t="n">
        <x:f>MAX(MIN('詳細設定'!$D$15+0.05,1),0)</x:f>
        <x:v>0.45</x:v>
      </x:c>
      <x:c r="G534" s="563" t="n">
        <x:f>'_計算月次'!$J$6</x:f>
        <x:v>472.4508339500229</x:v>
      </x:c>
      <x:c r="H534" s="563" t="n">
        <x:f>'_計算月次'!$K$6</x:f>
        <x:v>405</x:v>
      </x:c>
      <x:c r="I534" s="563" t="n">
        <x:f>(1-MAX(MIN('詳細設定'!$D$16,0.999999),0))^(B534-1)</x:f>
        <x:v>1</x:v>
      </x:c>
      <x:c r="J534" s="563" t="n">
        <x:f>MAX(G534*D534*I534,0)</x:f>
        <x:v>519.6959173450252</x:v>
      </x:c>
      <x:c r="K534" s="563" t="n">
        <x:f>MAX(MIN(J534*F534,H534),0)</x:f>
        <x:v>233.86316280526137</x:v>
      </x:c>
      <x:c r="L534" s="563" t="n">
        <x:f>MAX(J534-K534,0)</x:f>
        <x:v>285.83275453976387</x:v>
      </x:c>
      <x:c r="M534" s="185" t="n">
        <x:f>MAX('詳細設定'!$D$6,0)*(1+'詳細設定'!$D$21)^(B534-1)</x:f>
        <x:v>36.42114035</x:v>
      </x:c>
      <x:c r="N534" s="185" t="n">
        <x:f>IF(B534&lt;=MAX(MIN('詳細設定'!$D$8,20),0),MAX('詳細設定'!$D$7,0),IF(B534&lt;=MAX(MIN('詳細設定'!$D$10,20),0),MAX('詳細設定'!$D$9,0),MAX('詳細設定'!$D$11,0)))</x:f>
        <x:v>8.3</x:v>
      </x:c>
      <x:c r="O534" s="190" t="n">
        <x:f>K534*M534</x:f>
        <x:v>8517.563075225324</x:v>
      </x:c>
      <x:c r="P534" s="190" t="n">
        <x:f>L534*N534</x:f>
        <x:v>2372.4118626800405</x:v>
      </x:c>
      <x:c r="Q534" s="190" t="n">
        <x:f>O534+P534</x:f>
        <x:v>10889.974937905365</x:v>
      </x:c>
      <x:c r="R534" s="196" t="n">
        <x:f>J534-K534-L534</x:f>
        <x:v>0</x:v>
      </x:c>
    </x:row>
    <x:row r="535">
      <x:c r="A535" s="20" t="str">
        <x:v>上振れ</x:v>
      </x:c>
      <x:c r="B535" s="20" t="n">
        <x:v>5</x:v>
      </x:c>
      <x:c r="C535" s="20" t="n">
        <x:v>3</x:v>
      </x:c>
      <x:c r="D535" s="189" t="n">
        <x:v>1.1</x:v>
      </x:c>
      <x:c r="E535" s="189" t="n">
        <x:v>0.9</x:v>
      </x:c>
      <x:c r="F535" s="189" t="n">
        <x:f>MAX(MIN('詳細設定'!$D$15+0.05,1),0)</x:f>
        <x:v>0.45</x:v>
      </x:c>
      <x:c r="G535" s="563" t="n">
        <x:f>'_計算月次'!$J$7</x:f>
        <x:v>548.3418864753118</x:v>
      </x:c>
      <x:c r="H535" s="563" t="n">
        <x:f>'_計算月次'!$K$7</x:f>
        <x:v>360</x:v>
      </x:c>
      <x:c r="I535" s="563" t="n">
        <x:f>(1-MAX(MIN('詳細設定'!$D$16,0.999999),0))^(B535-1)</x:f>
        <x:v>1</x:v>
      </x:c>
      <x:c r="J535" s="563" t="n">
        <x:f>MAX(G535*D535*I535,0)</x:f>
        <x:v>603.176075122843</x:v>
      </x:c>
      <x:c r="K535" s="563" t="n">
        <x:f>MAX(MIN(J535*F535,H535),0)</x:f>
        <x:v>271.42923380527935</x:v>
      </x:c>
      <x:c r="L535" s="563" t="n">
        <x:f>MAX(J535-K535,0)</x:f>
        <x:v>331.7468413175637</x:v>
      </x:c>
      <x:c r="M535" s="185" t="n">
        <x:f>MAX('詳細設定'!$D$6,0)*(1+'詳細設定'!$D$21)^(B535-1)</x:f>
        <x:v>36.42114035</x:v>
      </x:c>
      <x:c r="N535" s="185" t="n">
        <x:f>IF(B535&lt;=MAX(MIN('詳細設定'!$D$8,20),0),MAX('詳細設定'!$D$7,0),IF(B535&lt;=MAX(MIN('詳細設定'!$D$10,20),0),MAX('詳細設定'!$D$9,0),MAX('詳細設定'!$D$11,0)))</x:f>
        <x:v>8.3</x:v>
      </x:c>
      <x:c r="O535" s="190" t="n">
        <x:f>K535*M535</x:f>
        <x:v>9885.762219515045</x:v>
      </x:c>
      <x:c r="P535" s="190" t="n">
        <x:f>L535*N535</x:f>
        <x:v>2753.4987829357788</x:v>
      </x:c>
      <x:c r="Q535" s="190" t="n">
        <x:f>O535+P535</x:f>
        <x:v>12639.261002450825</x:v>
      </x:c>
      <x:c r="R535" s="196" t="n">
        <x:f>J535-K535-L535</x:f>
        <x:v>0</x:v>
      </x:c>
    </x:row>
    <x:row r="536">
      <x:c r="A536" s="20" t="str">
        <x:v>上振れ</x:v>
      </x:c>
      <x:c r="B536" s="20" t="n">
        <x:v>5</x:v>
      </x:c>
      <x:c r="C536" s="20" t="n">
        <x:v>4</x:v>
      </x:c>
      <x:c r="D536" s="189" t="n">
        <x:v>1.1</x:v>
      </x:c>
      <x:c r="E536" s="189" t="n">
        <x:v>0.9</x:v>
      </x:c>
      <x:c r="F536" s="189" t="n">
        <x:f>MAX(MIN('詳細設定'!$D$15+0.05,1),0)</x:f>
        <x:v>0.45</x:v>
      </x:c>
      <x:c r="G536" s="563" t="n">
        <x:f>'_計算月次'!$J$8</x:f>
        <x:v>548.3944393749554</x:v>
      </x:c>
      <x:c r="H536" s="563" t="n">
        <x:f>'_計算月次'!$K$8</x:f>
        <x:v>315.00000000000006</x:v>
      </x:c>
      <x:c r="I536" s="563" t="n">
        <x:f>(1-MAX(MIN('詳細設定'!$D$16,0.999999),0))^(B536-1)</x:f>
        <x:v>1</x:v>
      </x:c>
      <x:c r="J536" s="563" t="n">
        <x:f>MAX(G536*D536*I536,0)</x:f>
        <x:v>603.233883312451</x:v>
      </x:c>
      <x:c r="K536" s="563" t="n">
        <x:f>MAX(MIN(J536*F536,H536),0)</x:f>
        <x:v>271.45524749060297</x:v>
      </x:c>
      <x:c r="L536" s="563" t="n">
        <x:f>MAX(J536-K536,0)</x:f>
        <x:v>331.778635821848</x:v>
      </x:c>
      <x:c r="M536" s="185" t="n">
        <x:f>MAX('詳細設定'!$D$6,0)*(1+'詳細設定'!$D$21)^(B536-1)</x:f>
        <x:v>36.42114035</x:v>
      </x:c>
      <x:c r="N536" s="185" t="n">
        <x:f>IF(B536&lt;=MAX(MIN('詳細設定'!$D$8,20),0),MAX('詳細設定'!$D$7,0),IF(B536&lt;=MAX(MIN('詳細設定'!$D$10,20),0),MAX('詳細設定'!$D$9,0),MAX('詳細設定'!$D$11,0)))</x:f>
        <x:v>8.3</x:v>
      </x:c>
      <x:c r="O536" s="190" t="n">
        <x:f>K536*M536</x:f>
        <x:v>9886.709667599236</x:v>
      </x:c>
      <x:c r="P536" s="190" t="n">
        <x:f>L536*N536</x:f>
        <x:v>2753.7626773213387</x:v>
      </x:c>
      <x:c r="Q536" s="190" t="n">
        <x:f>O536+P536</x:f>
        <x:v>12640.472344920574</x:v>
      </x:c>
      <x:c r="R536" s="196" t="n">
        <x:f>J536-K536-L536</x:f>
        <x:v>0</x:v>
      </x:c>
    </x:row>
    <x:row r="537">
      <x:c r="A537" s="20" t="str">
        <x:v>上振れ</x:v>
      </x:c>
      <x:c r="B537" s="20" t="n">
        <x:v>5</x:v>
      </x:c>
      <x:c r="C537" s="20" t="n">
        <x:v>5</x:v>
      </x:c>
      <x:c r="D537" s="189" t="n">
        <x:v>1.1</x:v>
      </x:c>
      <x:c r="E537" s="189" t="n">
        <x:v>0.9</x:v>
      </x:c>
      <x:c r="F537" s="189" t="n">
        <x:f>MAX(MIN('詳細設定'!$D$15+0.05,1),0)</x:f>
        <x:v>0.45</x:v>
      </x:c>
      <x:c r="G537" s="563" t="n">
        <x:f>'_計算月次'!$J$9</x:f>
        <x:v>552.2367574934775</x:v>
      </x:c>
      <x:c r="H537" s="563" t="n">
        <x:f>'_計算月次'!$K$9</x:f>
        <x:v>315.00000000000006</x:v>
      </x:c>
      <x:c r="I537" s="563" t="n">
        <x:f>(1-MAX(MIN('詳細設定'!$D$16,0.999999),0))^(B537-1)</x:f>
        <x:v>1</x:v>
      </x:c>
      <x:c r="J537" s="563" t="n">
        <x:f>MAX(G537*D537*I537,0)</x:f>
        <x:v>607.4604332428253</x:v>
      </x:c>
      <x:c r="K537" s="563" t="n">
        <x:f>MAX(MIN(J537*F537,H537),0)</x:f>
        <x:v>273.3571949592714</x:v>
      </x:c>
      <x:c r="L537" s="563" t="n">
        <x:f>MAX(J537-K537,0)</x:f>
        <x:v>334.1032382835539</x:v>
      </x:c>
      <x:c r="M537" s="185" t="n">
        <x:f>MAX('詳細設定'!$D$6,0)*(1+'詳細設定'!$D$21)^(B537-1)</x:f>
        <x:v>36.42114035</x:v>
      </x:c>
      <x:c r="N537" s="185" t="n">
        <x:f>IF(B537&lt;=MAX(MIN('詳細設定'!$D$8,20),0),MAX('詳細設定'!$D$7,0),IF(B537&lt;=MAX(MIN('詳細設定'!$D$10,20),0),MAX('詳細設定'!$D$9,0),MAX('詳細設定'!$D$11,0)))</x:f>
        <x:v>8.3</x:v>
      </x:c>
      <x:c r="O537" s="190" t="n">
        <x:f>K537*M537</x:f>
        <x:v>9955.980763293937</x:v>
      </x:c>
      <x:c r="P537" s="190" t="n">
        <x:f>L537*N537</x:f>
        <x:v>2773.0568777534972</x:v>
      </x:c>
      <x:c r="Q537" s="190" t="n">
        <x:f>O537+P537</x:f>
        <x:v>12729.037641047435</x:v>
      </x:c>
      <x:c r="R537" s="196" t="n">
        <x:f>J537-K537-L537</x:f>
        <x:v>0</x:v>
      </x:c>
    </x:row>
    <x:row r="538">
      <x:c r="A538" s="20" t="str">
        <x:v>上振れ</x:v>
      </x:c>
      <x:c r="B538" s="20" t="n">
        <x:v>5</x:v>
      </x:c>
      <x:c r="C538" s="20" t="n">
        <x:v>6</x:v>
      </x:c>
      <x:c r="D538" s="189" t="n">
        <x:v>1.1</x:v>
      </x:c>
      <x:c r="E538" s="189" t="n">
        <x:v>0.9</x:v>
      </x:c>
      <x:c r="F538" s="189" t="n">
        <x:f>MAX(MIN('詳細設定'!$D$15+0.05,1),0)</x:f>
        <x:v>0.45</x:v>
      </x:c>
      <x:c r="G538" s="563" t="n">
        <x:f>'_計算月次'!$J$10</x:f>
        <x:v>448.7994857612148</x:v>
      </x:c>
      <x:c r="H538" s="563" t="n">
        <x:f>'_計算月次'!$K$10</x:f>
        <x:v>360</x:v>
      </x:c>
      <x:c r="I538" s="563" t="n">
        <x:f>(1-MAX(MIN('詳細設定'!$D$16,0.999999),0))^(B538-1)</x:f>
        <x:v>1</x:v>
      </x:c>
      <x:c r="J538" s="563" t="n">
        <x:f>MAX(G538*D538*I538,0)</x:f>
        <x:v>493.6794343373363</x:v>
      </x:c>
      <x:c r="K538" s="563" t="n">
        <x:f>MAX(MIN(J538*F538,H538),0)</x:f>
        <x:v>222.15574545180135</x:v>
      </x:c>
      <x:c r="L538" s="563" t="n">
        <x:f>MAX(J538-K538,0)</x:f>
        <x:v>271.52368888553497</x:v>
      </x:c>
      <x:c r="M538" s="185" t="n">
        <x:f>MAX('詳細設定'!$D$6,0)*(1+'詳細設定'!$D$21)^(B538-1)</x:f>
        <x:v>36.42114035</x:v>
      </x:c>
      <x:c r="N538" s="185" t="n">
        <x:f>IF(B538&lt;=MAX(MIN('詳細設定'!$D$8,20),0),MAX('詳細設定'!$D$7,0),IF(B538&lt;=MAX(MIN('詳細設定'!$D$10,20),0),MAX('詳細設定'!$D$9,0),MAX('詳細設定'!$D$11,0)))</x:f>
        <x:v>8.3</x:v>
      </x:c>
      <x:c r="O538" s="190" t="n">
        <x:f>K538*M538</x:f>
        <x:v>8091.165584658932</x:v>
      </x:c>
      <x:c r="P538" s="190" t="n">
        <x:f>L538*N538</x:f>
        <x:v>2253.6466177499406</x:v>
      </x:c>
      <x:c r="Q538" s="190" t="n">
        <x:f>O538+P538</x:f>
        <x:v>10344.812202408873</x:v>
      </x:c>
      <x:c r="R538" s="196" t="n">
        <x:f>J538-K538-L538</x:f>
        <x:v>0</x:v>
      </x:c>
    </x:row>
    <x:row r="539">
      <x:c r="A539" s="20" t="str">
        <x:v>上振れ</x:v>
      </x:c>
      <x:c r="B539" s="20" t="n">
        <x:v>5</x:v>
      </x:c>
      <x:c r="C539" s="20" t="n">
        <x:v>7</x:v>
      </x:c>
      <x:c r="D539" s="189" t="n">
        <x:v>1.1</x:v>
      </x:c>
      <x:c r="E539" s="189" t="n">
        <x:v>0.9</x:v>
      </x:c>
      <x:c r="F539" s="189" t="n">
        <x:f>MAX(MIN('詳細設定'!$D$15+0.05,1),0)</x:f>
        <x:v>0.45</x:v>
      </x:c>
      <x:c r="G539" s="563" t="n">
        <x:f>'_計算月次'!$J$11</x:f>
        <x:v>476.0181638067866</x:v>
      </x:c>
      <x:c r="H539" s="563" t="n">
        <x:f>'_計算月次'!$K$11</x:f>
        <x:v>405</x:v>
      </x:c>
      <x:c r="I539" s="563" t="n">
        <x:f>(1-MAX(MIN('詳細設定'!$D$16,0.999999),0))^(B539-1)</x:f>
        <x:v>1</x:v>
      </x:c>
      <x:c r="J539" s="563" t="n">
        <x:f>MAX(G539*D539*I539,0)</x:f>
        <x:v>523.6199801874653</x:v>
      </x:c>
      <x:c r="K539" s="563" t="n">
        <x:f>MAX(MIN(J539*F539,H539),0)</x:f>
        <x:v>235.6289910843594</x:v>
      </x:c>
      <x:c r="L539" s="563" t="n">
        <x:f>MAX(J539-K539,0)</x:f>
        <x:v>287.9909891031059</x:v>
      </x:c>
      <x:c r="M539" s="185" t="n">
        <x:f>MAX('詳細設定'!$D$6,0)*(1+'詳細設定'!$D$21)^(B539-1)</x:f>
        <x:v>36.42114035</x:v>
      </x:c>
      <x:c r="N539" s="185" t="n">
        <x:f>IF(B539&lt;=MAX(MIN('詳細設定'!$D$8,20),0),MAX('詳細設定'!$D$7,0),IF(B539&lt;=MAX(MIN('詳細設定'!$D$10,20),0),MAX('詳細設定'!$D$9,0),MAX('詳細設定'!$D$11,0)))</x:f>
        <x:v>8.3</x:v>
      </x:c>
      <x:c r="O539" s="190" t="n">
        <x:f>K539*M539</x:f>
        <x:v>8581.876554812352</x:v>
      </x:c>
      <x:c r="P539" s="190" t="n">
        <x:f>L539*N539</x:f>
        <x:v>2390.325209555779</x:v>
      </x:c>
      <x:c r="Q539" s="190" t="n">
        <x:f>O539+P539</x:f>
        <x:v>10972.201764368132</x:v>
      </x:c>
      <x:c r="R539" s="196" t="n">
        <x:f>J539-K539-L539</x:f>
        <x:v>0</x:v>
      </x:c>
    </x:row>
    <x:row r="540">
      <x:c r="A540" s="20" t="str">
        <x:v>上振れ</x:v>
      </x:c>
      <x:c r="B540" s="20" t="n">
        <x:v>5</x:v>
      </x:c>
      <x:c r="C540" s="20" t="n">
        <x:v>8</x:v>
      </x:c>
      <x:c r="D540" s="189" t="n">
        <x:v>1.1</x:v>
      </x:c>
      <x:c r="E540" s="189" t="n">
        <x:v>0.9</x:v>
      </x:c>
      <x:c r="F540" s="189" t="n">
        <x:f>MAX(MIN('詳細設定'!$D$15+0.05,1),0)</x:f>
        <x:v>0.45</x:v>
      </x:c>
      <x:c r="G540" s="563" t="n">
        <x:f>'_計算月次'!$J$12</x:f>
        <x:v>528.6548067323699</x:v>
      </x:c>
      <x:c r="H540" s="563" t="n">
        <x:f>'_計算月次'!$K$12</x:f>
        <x:v>450</x:v>
      </x:c>
      <x:c r="I540" s="563" t="n">
        <x:f>(1-MAX(MIN('詳細設定'!$D$16,0.999999),0))^(B540-1)</x:f>
        <x:v>1</x:v>
      </x:c>
      <x:c r="J540" s="563" t="n">
        <x:f>MAX(G540*D540*I540,0)</x:f>
        <x:v>581.520287405607</x:v>
      </x:c>
      <x:c r="K540" s="563" t="n">
        <x:f>MAX(MIN(J540*F540,H540),0)</x:f>
        <x:v>261.6841293325231</x:v>
      </x:c>
      <x:c r="L540" s="563" t="n">
        <x:f>MAX(J540-K540,0)</x:f>
        <x:v>319.8361580730838</x:v>
      </x:c>
      <x:c r="M540" s="185" t="n">
        <x:f>MAX('詳細設定'!$D$6,0)*(1+'詳細設定'!$D$21)^(B540-1)</x:f>
        <x:v>36.42114035</x:v>
      </x:c>
      <x:c r="N540" s="185" t="n">
        <x:f>IF(B540&lt;=MAX(MIN('詳細設定'!$D$8,20),0),MAX('詳細設定'!$D$7,0),IF(B540&lt;=MAX(MIN('詳細設定'!$D$10,20),0),MAX('詳細設定'!$D$9,0),MAX('詳細設定'!$D$11,0)))</x:f>
        <x:v>8.3</x:v>
      </x:c>
      <x:c r="O540" s="190" t="n">
        <x:f>K540*M540</x:f>
        <x:v>9530.834401787377</x:v>
      </x:c>
      <x:c r="P540" s="190" t="n">
        <x:f>L540*N540</x:f>
        <x:v>2654.640112006596</x:v>
      </x:c>
      <x:c r="Q540" s="190" t="n">
        <x:f>O540+P540</x:f>
        <x:v>12185.474513793974</x:v>
      </x:c>
      <x:c r="R540" s="196" t="n">
        <x:f>J540-K540-L540</x:f>
        <x:v>0</x:v>
      </x:c>
    </x:row>
    <x:row r="541">
      <x:c r="A541" s="20" t="str">
        <x:v>上振れ</x:v>
      </x:c>
      <x:c r="B541" s="20" t="n">
        <x:v>5</x:v>
      </x:c>
      <x:c r="C541" s="20" t="n">
        <x:v>9</x:v>
      </x:c>
      <x:c r="D541" s="189" t="n">
        <x:v>1.1</x:v>
      </x:c>
      <x:c r="E541" s="189" t="n">
        <x:v>0.9</x:v>
      </x:c>
      <x:c r="F541" s="189" t="n">
        <x:f>MAX(MIN('詳細設定'!$D$15+0.05,1),0)</x:f>
        <x:v>0.45</x:v>
      </x:c>
      <x:c r="G541" s="563" t="n">
        <x:f>'_計算月次'!$J$13</x:f>
        <x:v>436.37734765103465</x:v>
      </x:c>
      <x:c r="H541" s="563" t="n">
        <x:f>'_計算月次'!$K$13</x:f>
        <x:v>360</x:v>
      </x:c>
      <x:c r="I541" s="563" t="n">
        <x:f>(1-MAX(MIN('詳細設定'!$D$16,0.999999),0))^(B541-1)</x:f>
        <x:v>1</x:v>
      </x:c>
      <x:c r="J541" s="563" t="n">
        <x:f>MAX(G541*D541*I541,0)</x:f>
        <x:v>480.01508241613817</x:v>
      </x:c>
      <x:c r="K541" s="563" t="n">
        <x:f>MAX(MIN(J541*F541,H541),0)</x:f>
        <x:v>216.00678708726218</x:v>
      </x:c>
      <x:c r="L541" s="563" t="n">
        <x:f>MAX(J541-K541,0)</x:f>
        <x:v>264.008295328876</x:v>
      </x:c>
      <x:c r="M541" s="185" t="n">
        <x:f>MAX('詳細設定'!$D$6,0)*(1+'詳細設定'!$D$21)^(B541-1)</x:f>
        <x:v>36.42114035</x:v>
      </x:c>
      <x:c r="N541" s="185" t="n">
        <x:f>IF(B541&lt;=MAX(MIN('詳細設定'!$D$8,20),0),MAX('詳細設定'!$D$7,0),IF(B541&lt;=MAX(MIN('詳細設定'!$D$10,20),0),MAX('詳細設定'!$D$9,0),MAX('詳細設定'!$D$11,0)))</x:f>
        <x:v>8.3</x:v>
      </x:c>
      <x:c r="O541" s="190" t="n">
        <x:f>K541*M541</x:f>
        <x:v>7867.213509057744</x:v>
      </x:c>
      <x:c r="P541" s="190" t="n">
        <x:f>L541*N541</x:f>
        <x:v>2191.268851229671</x:v>
      </x:c>
      <x:c r="Q541" s="190" t="n">
        <x:f>O541+P541</x:f>
        <x:v>10058.482360287415</x:v>
      </x:c>
      <x:c r="R541" s="196" t="n">
        <x:f>J541-K541-L541</x:f>
        <x:v>0</x:v>
      </x:c>
    </x:row>
    <x:row r="542">
      <x:c r="A542" s="20" t="str">
        <x:v>上振れ</x:v>
      </x:c>
      <x:c r="B542" s="20" t="n">
        <x:v>5</x:v>
      </x:c>
      <x:c r="C542" s="20" t="n">
        <x:v>10</x:v>
      </x:c>
      <x:c r="D542" s="189" t="n">
        <x:v>1.1</x:v>
      </x:c>
      <x:c r="E542" s="189" t="n">
        <x:v>0.9</x:v>
      </x:c>
      <x:c r="F542" s="189" t="n">
        <x:f>MAX(MIN('詳細設定'!$D$15+0.05,1),0)</x:f>
        <x:v>0.45</x:v>
      </x:c>
      <x:c r="G542" s="563" t="n">
        <x:f>'_計算月次'!$J$14</x:f>
        <x:v>408.8269849869007</x:v>
      </x:c>
      <x:c r="H542" s="563" t="n">
        <x:f>'_計算月次'!$K$14</x:f>
        <x:v>315.00000000000006</x:v>
      </x:c>
      <x:c r="I542" s="563" t="n">
        <x:f>(1-MAX(MIN('詳細設定'!$D$16,0.999999),0))^(B542-1)</x:f>
        <x:v>1</x:v>
      </x:c>
      <x:c r="J542" s="563" t="n">
        <x:f>MAX(G542*D542*I542,0)</x:f>
        <x:v>449.7096834855908</x:v>
      </x:c>
      <x:c r="K542" s="563" t="n">
        <x:f>MAX(MIN(J542*F542,H542),0)</x:f>
        <x:v>202.36935756851585</x:v>
      </x:c>
      <x:c r="L542" s="563" t="n">
        <x:f>MAX(J542-K542,0)</x:f>
        <x:v>247.34032591707495</x:v>
      </x:c>
      <x:c r="M542" s="185" t="n">
        <x:f>MAX('詳細設定'!$D$6,0)*(1+'詳細設定'!$D$21)^(B542-1)</x:f>
        <x:v>36.42114035</x:v>
      </x:c>
      <x:c r="N542" s="185" t="n">
        <x:f>IF(B542&lt;=MAX(MIN('詳細設定'!$D$8,20),0),MAX('詳細設定'!$D$7,0),IF(B542&lt;=MAX(MIN('詳細設定'!$D$10,20),0),MAX('詳細設定'!$D$9,0),MAX('詳細設定'!$D$11,0)))</x:f>
        <x:v>8.3</x:v>
      </x:c>
      <x:c r="O542" s="190" t="n">
        <x:f>K542*M542</x:f>
        <x:v>7370.522774542251</x:v>
      </x:c>
      <x:c r="P542" s="190" t="n">
        <x:f>L542*N542</x:f>
        <x:v>2052.9247051117222</x:v>
      </x:c>
      <x:c r="Q542" s="190" t="n">
        <x:f>O542+P542</x:f>
        <x:v>9423.447479653973</x:v>
      </x:c>
      <x:c r="R542" s="196" t="n">
        <x:f>J542-K542-L542</x:f>
        <x:v>0</x:v>
      </x:c>
    </x:row>
    <x:row r="543">
      <x:c r="A543" s="20" t="str">
        <x:v>上振れ</x:v>
      </x:c>
      <x:c r="B543" s="20" t="n">
        <x:v>5</x:v>
      </x:c>
      <x:c r="C543" s="20" t="n">
        <x:v>11</x:v>
      </x:c>
      <x:c r="D543" s="189" t="n">
        <x:v>1.1</x:v>
      </x:c>
      <x:c r="E543" s="189" t="n">
        <x:v>0.9</x:v>
      </x:c>
      <x:c r="F543" s="189" t="n">
        <x:f>MAX(MIN('詳細設定'!$D$15+0.05,1),0)</x:f>
        <x:v>0.45</x:v>
      </x:c>
      <x:c r="G543" s="563" t="n">
        <x:f>'_計算月次'!$J$15</x:f>
        <x:v>398.45169764745054</x:v>
      </x:c>
      <x:c r="H543" s="563" t="n">
        <x:f>'_計算月次'!$K$15</x:f>
        <x:v>360</x:v>
      </x:c>
      <x:c r="I543" s="563" t="n">
        <x:f>(1-MAX(MIN('詳細設定'!$D$16,0.999999),0))^(B543-1)</x:f>
        <x:v>1</x:v>
      </x:c>
      <x:c r="J543" s="563" t="n">
        <x:f>MAX(G543*D543*I543,0)</x:f>
        <x:v>438.29686741219564</x:v>
      </x:c>
      <x:c r="K543" s="563" t="n">
        <x:f>MAX(MIN(J543*F543,H543),0)</x:f>
        <x:v>197.23359033548803</x:v>
      </x:c>
      <x:c r="L543" s="563" t="n">
        <x:f>MAX(J543-K543,0)</x:f>
        <x:v>241.0632770767076</x:v>
      </x:c>
      <x:c r="M543" s="185" t="n">
        <x:f>MAX('詳細設定'!$D$6,0)*(1+'詳細設定'!$D$21)^(B543-1)</x:f>
        <x:v>36.42114035</x:v>
      </x:c>
      <x:c r="N543" s="185" t="n">
        <x:f>IF(B543&lt;=MAX(MIN('詳細設定'!$D$8,20),0),MAX('詳細設定'!$D$7,0),IF(B543&lt;=MAX(MIN('詳細設定'!$D$10,20),0),MAX('詳細設定'!$D$9,0),MAX('詳細設定'!$D$11,0)))</x:f>
        <x:v>8.3</x:v>
      </x:c>
      <x:c r="O543" s="190" t="n">
        <x:f>K543*M543</x:f>
        <x:v>7183.472275343213</x:v>
      </x:c>
      <x:c r="P543" s="190" t="n">
        <x:f>L543*N543</x:f>
        <x:v>2000.8251997366733</x:v>
      </x:c>
      <x:c r="Q543" s="190" t="n">
        <x:f>O543+P543</x:f>
        <x:v>9184.297475079886</x:v>
      </x:c>
      <x:c r="R543" s="196" t="n">
        <x:f>J543-K543-L543</x:f>
        <x:v>0</x:v>
      </x:c>
    </x:row>
    <x:row r="544">
      <x:c r="A544" s="20" t="str">
        <x:v>上振れ</x:v>
      </x:c>
      <x:c r="B544" s="20" t="n">
        <x:v>5</x:v>
      </x:c>
      <x:c r="C544" s="20" t="n">
        <x:v>12</x:v>
      </x:c>
      <x:c r="D544" s="189" t="n">
        <x:v>1.1</x:v>
      </x:c>
      <x:c r="E544" s="189" t="n">
        <x:v>0.9</x:v>
      </x:c>
      <x:c r="F544" s="189" t="n">
        <x:f>MAX(MIN('詳細設定'!$D$15+0.05,1),0)</x:f>
        <x:v>0.45</x:v>
      </x:c>
      <x:c r="G544" s="563" t="n">
        <x:f>'_計算月次'!$J$16</x:f>
        <x:v>443.97248688000184</x:v>
      </x:c>
      <x:c r="H544" s="563" t="n">
        <x:f>'_計算月次'!$K$16</x:f>
        <x:v>405</x:v>
      </x:c>
      <x:c r="I544" s="563" t="n">
        <x:f>(1-MAX(MIN('詳細設定'!$D$16,0.999999),0))^(B544-1)</x:f>
        <x:v>1</x:v>
      </x:c>
      <x:c r="J544" s="563" t="n">
        <x:f>MAX(G544*D544*I544,0)</x:f>
        <x:v>488.36973556800206</x:v>
      </x:c>
      <x:c r="K544" s="563" t="n">
        <x:f>MAX(MIN(J544*F544,H544),0)</x:f>
        <x:v>219.76638100560092</x:v>
      </x:c>
      <x:c r="L544" s="563" t="n">
        <x:f>MAX(J544-K544,0)</x:f>
        <x:v>268.60335456240114</x:v>
      </x:c>
      <x:c r="M544" s="185" t="n">
        <x:f>MAX('詳細設定'!$D$6,0)*(1+'詳細設定'!$D$21)^(B544-1)</x:f>
        <x:v>36.42114035</x:v>
      </x:c>
      <x:c r="N544" s="185" t="n">
        <x:f>IF(B544&lt;=MAX(MIN('詳細設定'!$D$8,20),0),MAX('詳細設定'!$D$7,0),IF(B544&lt;=MAX(MIN('詳細設定'!$D$10,20),0),MAX('詳細設定'!$D$9,0),MAX('詳細設定'!$D$11,0)))</x:f>
        <x:v>8.3</x:v>
      </x:c>
      <x:c r="O544" s="190" t="n">
        <x:f>K544*M544</x:f>
        <x:v>8004.142206816566</x:v>
      </x:c>
      <x:c r="P544" s="190" t="n">
        <x:f>L544*N544</x:f>
        <x:v>2229.4078428679295</x:v>
      </x:c>
      <x:c r="Q544" s="190" t="n">
        <x:f>O544+P544</x:f>
        <x:v>10233.550049684494</x:v>
      </x:c>
      <x:c r="R544" s="196" t="n">
        <x:f>J544-K544-L544</x:f>
        <x:v>0</x:v>
      </x:c>
    </x:row>
    <x:row r="545">
      <x:c r="A545" s="20" t="str">
        <x:v>上振れ</x:v>
      </x:c>
      <x:c r="B545" s="20" t="n">
        <x:v>6</x:v>
      </x:c>
      <x:c r="C545" s="20" t="n">
        <x:v>1</x:v>
      </x:c>
      <x:c r="D545" s="189" t="n">
        <x:v>1.1</x:v>
      </x:c>
      <x:c r="E545" s="189" t="n">
        <x:v>0.9</x:v>
      </x:c>
      <x:c r="F545" s="189" t="n">
        <x:f>MAX(MIN('詳細設定'!$D$15+0.05,1),0)</x:f>
        <x:v>0.45</x:v>
      </x:c>
      <x:c r="G545" s="563" t="n">
        <x:f>'_計算月次'!$J$5</x:f>
        <x:v>502.4147595742038</x:v>
      </x:c>
      <x:c r="H545" s="563" t="n">
        <x:f>'_計算月次'!$K$5</x:f>
        <x:v>450</x:v>
      </x:c>
      <x:c r="I545" s="563" t="n">
        <x:f>(1-MAX(MIN('詳細設定'!$D$16,0.999999),0))^(B545-1)</x:f>
        <x:v>1</x:v>
      </x:c>
      <x:c r="J545" s="563" t="n">
        <x:f>MAX(G545*D545*I545,0)</x:f>
        <x:v>552.6562355316242</x:v>
      </x:c>
      <x:c r="K545" s="563" t="n">
        <x:f>MAX(MIN(J545*F545,H545),0)</x:f>
        <x:v>248.69530598923092</x:v>
      </x:c>
      <x:c r="L545" s="563" t="n">
        <x:f>MAX(J545-K545,0)</x:f>
        <x:v>303.96092954239333</x:v>
      </x:c>
      <x:c r="M545" s="185" t="n">
        <x:f>MAX('詳細設定'!$D$6,0)*(1+'詳細設定'!$D$21)^(B545-1)</x:f>
        <x:v>36.7853517535</x:v>
      </x:c>
      <x:c r="N545" s="185" t="n">
        <x:f>IF(B545&lt;=MAX(MIN('詳細設定'!$D$8,20),0),MAX('詳細設定'!$D$7,0),IF(B545&lt;=MAX(MIN('詳細設定'!$D$10,20),0),MAX('詳細設定'!$D$9,0),MAX('詳細設定'!$D$11,0)))</x:f>
        <x:v>8.3</x:v>
      </x:c>
      <x:c r="O545" s="190" t="n">
        <x:f>K545*M545</x:f>
        <x:v>9148.344310258175</x:v>
      </x:c>
      <x:c r="P545" s="190" t="n">
        <x:f>L545*N545</x:f>
        <x:v>2522.8757152018648</x:v>
      </x:c>
      <x:c r="Q545" s="190" t="n">
        <x:f>O545+P545</x:f>
        <x:v>11671.22002546004</x:v>
      </x:c>
      <x:c r="R545" s="196" t="n">
        <x:f>J545-K545-L545</x:f>
        <x:v>0</x:v>
      </x:c>
    </x:row>
    <x:row r="546">
      <x:c r="A546" s="20" t="str">
        <x:v>上振れ</x:v>
      </x:c>
      <x:c r="B546" s="20" t="n">
        <x:v>6</x:v>
      </x:c>
      <x:c r="C546" s="20" t="n">
        <x:v>2</x:v>
      </x:c>
      <x:c r="D546" s="189" t="n">
        <x:v>1.1</x:v>
      </x:c>
      <x:c r="E546" s="189" t="n">
        <x:v>0.9</x:v>
      </x:c>
      <x:c r="F546" s="189" t="n">
        <x:f>MAX(MIN('詳細設定'!$D$15+0.05,1),0)</x:f>
        <x:v>0.45</x:v>
      </x:c>
      <x:c r="G546" s="563" t="n">
        <x:f>'_計算月次'!$J$6</x:f>
        <x:v>472.4508339500229</x:v>
      </x:c>
      <x:c r="H546" s="563" t="n">
        <x:f>'_計算月次'!$K$6</x:f>
        <x:v>405</x:v>
      </x:c>
      <x:c r="I546" s="563" t="n">
        <x:f>(1-MAX(MIN('詳細設定'!$D$16,0.999999),0))^(B546-1)</x:f>
        <x:v>1</x:v>
      </x:c>
      <x:c r="J546" s="563" t="n">
        <x:f>MAX(G546*D546*I546,0)</x:f>
        <x:v>519.6959173450252</x:v>
      </x:c>
      <x:c r="K546" s="563" t="n">
        <x:f>MAX(MIN(J546*F546,H546),0)</x:f>
        <x:v>233.86316280526137</x:v>
      </x:c>
      <x:c r="L546" s="563" t="n">
        <x:f>MAX(J546-K546,0)</x:f>
        <x:v>285.83275453976387</x:v>
      </x:c>
      <x:c r="M546" s="185" t="n">
        <x:f>MAX('詳細設定'!$D$6,0)*(1+'詳細設定'!$D$21)^(B546-1)</x:f>
        <x:v>36.7853517535</x:v>
      </x:c>
      <x:c r="N546" s="185" t="n">
        <x:f>IF(B546&lt;=MAX(MIN('詳細設定'!$D$8,20),0),MAX('詳細設定'!$D$7,0),IF(B546&lt;=MAX(MIN('詳細設定'!$D$10,20),0),MAX('詳細設定'!$D$9,0),MAX('詳細設定'!$D$11,0)))</x:f>
        <x:v>8.3</x:v>
      </x:c>
      <x:c r="O546" s="190" t="n">
        <x:f>K546*M546</x:f>
        <x:v>8602.738705977577</x:v>
      </x:c>
      <x:c r="P546" s="190" t="n">
        <x:f>L546*N546</x:f>
        <x:v>2372.4118626800405</x:v>
      </x:c>
      <x:c r="Q546" s="190" t="n">
        <x:f>O546+P546</x:f>
        <x:v>10975.150568657618</x:v>
      </x:c>
      <x:c r="R546" s="196" t="n">
        <x:f>J546-K546-L546</x:f>
        <x:v>0</x:v>
      </x:c>
    </x:row>
    <x:row r="547">
      <x:c r="A547" s="20" t="str">
        <x:v>上振れ</x:v>
      </x:c>
      <x:c r="B547" s="20" t="n">
        <x:v>6</x:v>
      </x:c>
      <x:c r="C547" s="20" t="n">
        <x:v>3</x:v>
      </x:c>
      <x:c r="D547" s="189" t="n">
        <x:v>1.1</x:v>
      </x:c>
      <x:c r="E547" s="189" t="n">
        <x:v>0.9</x:v>
      </x:c>
      <x:c r="F547" s="189" t="n">
        <x:f>MAX(MIN('詳細設定'!$D$15+0.05,1),0)</x:f>
        <x:v>0.45</x:v>
      </x:c>
      <x:c r="G547" s="563" t="n">
        <x:f>'_計算月次'!$J$7</x:f>
        <x:v>548.3418864753118</x:v>
      </x:c>
      <x:c r="H547" s="563" t="n">
        <x:f>'_計算月次'!$K$7</x:f>
        <x:v>360</x:v>
      </x:c>
      <x:c r="I547" s="563" t="n">
        <x:f>(1-MAX(MIN('詳細設定'!$D$16,0.999999),0))^(B547-1)</x:f>
        <x:v>1</x:v>
      </x:c>
      <x:c r="J547" s="563" t="n">
        <x:f>MAX(G547*D547*I547,0)</x:f>
        <x:v>603.176075122843</x:v>
      </x:c>
      <x:c r="K547" s="563" t="n">
        <x:f>MAX(MIN(J547*F547,H547),0)</x:f>
        <x:v>271.42923380527935</x:v>
      </x:c>
      <x:c r="L547" s="563" t="n">
        <x:f>MAX(J547-K547,0)</x:f>
        <x:v>331.7468413175637</x:v>
      </x:c>
      <x:c r="M547" s="185" t="n">
        <x:f>MAX('詳細設定'!$D$6,0)*(1+'詳細設定'!$D$21)^(B547-1)</x:f>
        <x:v>36.7853517535</x:v>
      </x:c>
      <x:c r="N547" s="185" t="n">
        <x:f>IF(B547&lt;=MAX(MIN('詳細設定'!$D$8,20),0),MAX('詳細設定'!$D$7,0),IF(B547&lt;=MAX(MIN('詳細設定'!$D$10,20),0),MAX('詳細設定'!$D$9,0),MAX('詳細設定'!$D$11,0)))</x:f>
        <x:v>8.3</x:v>
      </x:c>
      <x:c r="O547" s="190" t="n">
        <x:f>K547*M547</x:f>
        <x:v>9984.619841710195</x:v>
      </x:c>
      <x:c r="P547" s="190" t="n">
        <x:f>L547*N547</x:f>
        <x:v>2753.4987829357788</x:v>
      </x:c>
      <x:c r="Q547" s="190" t="n">
        <x:f>O547+P547</x:f>
        <x:v>12738.118624645973</x:v>
      </x:c>
      <x:c r="R547" s="196" t="n">
        <x:f>J547-K547-L547</x:f>
        <x:v>0</x:v>
      </x:c>
    </x:row>
    <x:row r="548">
      <x:c r="A548" s="20" t="str">
        <x:v>上振れ</x:v>
      </x:c>
      <x:c r="B548" s="20" t="n">
        <x:v>6</x:v>
      </x:c>
      <x:c r="C548" s="20" t="n">
        <x:v>4</x:v>
      </x:c>
      <x:c r="D548" s="189" t="n">
        <x:v>1.1</x:v>
      </x:c>
      <x:c r="E548" s="189" t="n">
        <x:v>0.9</x:v>
      </x:c>
      <x:c r="F548" s="189" t="n">
        <x:f>MAX(MIN('詳細設定'!$D$15+0.05,1),0)</x:f>
        <x:v>0.45</x:v>
      </x:c>
      <x:c r="G548" s="563" t="n">
        <x:f>'_計算月次'!$J$8</x:f>
        <x:v>548.3944393749554</x:v>
      </x:c>
      <x:c r="H548" s="563" t="n">
        <x:f>'_計算月次'!$K$8</x:f>
        <x:v>315.00000000000006</x:v>
      </x:c>
      <x:c r="I548" s="563" t="n">
        <x:f>(1-MAX(MIN('詳細設定'!$D$16,0.999999),0))^(B548-1)</x:f>
        <x:v>1</x:v>
      </x:c>
      <x:c r="J548" s="563" t="n">
        <x:f>MAX(G548*D548*I548,0)</x:f>
        <x:v>603.233883312451</x:v>
      </x:c>
      <x:c r="K548" s="563" t="n">
        <x:f>MAX(MIN(J548*F548,H548),0)</x:f>
        <x:v>271.45524749060297</x:v>
      </x:c>
      <x:c r="L548" s="563" t="n">
        <x:f>MAX(J548-K548,0)</x:f>
        <x:v>331.778635821848</x:v>
      </x:c>
      <x:c r="M548" s="185" t="n">
        <x:f>MAX('詳細設定'!$D$6,0)*(1+'詳細設定'!$D$21)^(B548-1)</x:f>
        <x:v>36.7853517535</x:v>
      </x:c>
      <x:c r="N548" s="185" t="n">
        <x:f>IF(B548&lt;=MAX(MIN('詳細設定'!$D$8,20),0),MAX('詳細設定'!$D$7,0),IF(B548&lt;=MAX(MIN('詳細設定'!$D$10,20),0),MAX('詳細設定'!$D$9,0),MAX('詳細設定'!$D$11,0)))</x:f>
        <x:v>8.3</x:v>
      </x:c>
      <x:c r="O548" s="190" t="n">
        <x:f>K548*M548</x:f>
        <x:v>9985.576764275229</x:v>
      </x:c>
      <x:c r="P548" s="190" t="n">
        <x:f>L548*N548</x:f>
        <x:v>2753.7626773213387</x:v>
      </x:c>
      <x:c r="Q548" s="190" t="n">
        <x:f>O548+P548</x:f>
        <x:v>12739.339441596567</x:v>
      </x:c>
      <x:c r="R548" s="196" t="n">
        <x:f>J548-K548-L548</x:f>
        <x:v>0</x:v>
      </x:c>
    </x:row>
    <x:row r="549">
      <x:c r="A549" s="20" t="str">
        <x:v>上振れ</x:v>
      </x:c>
      <x:c r="B549" s="20" t="n">
        <x:v>6</x:v>
      </x:c>
      <x:c r="C549" s="20" t="n">
        <x:v>5</x:v>
      </x:c>
      <x:c r="D549" s="189" t="n">
        <x:v>1.1</x:v>
      </x:c>
      <x:c r="E549" s="189" t="n">
        <x:v>0.9</x:v>
      </x:c>
      <x:c r="F549" s="189" t="n">
        <x:f>MAX(MIN('詳細設定'!$D$15+0.05,1),0)</x:f>
        <x:v>0.45</x:v>
      </x:c>
      <x:c r="G549" s="563" t="n">
        <x:f>'_計算月次'!$J$9</x:f>
        <x:v>552.2367574934775</x:v>
      </x:c>
      <x:c r="H549" s="563" t="n">
        <x:f>'_計算月次'!$K$9</x:f>
        <x:v>315.00000000000006</x:v>
      </x:c>
      <x:c r="I549" s="563" t="n">
        <x:f>(1-MAX(MIN('詳細設定'!$D$16,0.999999),0))^(B549-1)</x:f>
        <x:v>1</x:v>
      </x:c>
      <x:c r="J549" s="563" t="n">
        <x:f>MAX(G549*D549*I549,0)</x:f>
        <x:v>607.4604332428253</x:v>
      </x:c>
      <x:c r="K549" s="563" t="n">
        <x:f>MAX(MIN(J549*F549,H549),0)</x:f>
        <x:v>273.3571949592714</x:v>
      </x:c>
      <x:c r="L549" s="563" t="n">
        <x:f>MAX(J549-K549,0)</x:f>
        <x:v>334.1032382835539</x:v>
      </x:c>
      <x:c r="M549" s="185" t="n">
        <x:f>MAX('詳細設定'!$D$6,0)*(1+'詳細設定'!$D$21)^(B549-1)</x:f>
        <x:v>36.7853517535</x:v>
      </x:c>
      <x:c r="N549" s="185" t="n">
        <x:f>IF(B549&lt;=MAX(MIN('詳細設定'!$D$8,20),0),MAX('詳細設定'!$D$7,0),IF(B549&lt;=MAX(MIN('詳細設定'!$D$10,20),0),MAX('詳細設定'!$D$9,0),MAX('詳細設定'!$D$11,0)))</x:f>
        <x:v>8.3</x:v>
      </x:c>
      <x:c r="O549" s="190" t="n">
        <x:f>K549*M549</x:f>
        <x:v>10055.540570926876</x:v>
      </x:c>
      <x:c r="P549" s="190" t="n">
        <x:f>L549*N549</x:f>
        <x:v>2773.0568777534972</x:v>
      </x:c>
      <x:c r="Q549" s="190" t="n">
        <x:f>O549+P549</x:f>
        <x:v>12828.597448680373</x:v>
      </x:c>
      <x:c r="R549" s="196" t="n">
        <x:f>J549-K549-L549</x:f>
        <x:v>0</x:v>
      </x:c>
    </x:row>
    <x:row r="550">
      <x:c r="A550" s="20" t="str">
        <x:v>上振れ</x:v>
      </x:c>
      <x:c r="B550" s="20" t="n">
        <x:v>6</x:v>
      </x:c>
      <x:c r="C550" s="20" t="n">
        <x:v>6</x:v>
      </x:c>
      <x:c r="D550" s="189" t="n">
        <x:v>1.1</x:v>
      </x:c>
      <x:c r="E550" s="189" t="n">
        <x:v>0.9</x:v>
      </x:c>
      <x:c r="F550" s="189" t="n">
        <x:f>MAX(MIN('詳細設定'!$D$15+0.05,1),0)</x:f>
        <x:v>0.45</x:v>
      </x:c>
      <x:c r="G550" s="563" t="n">
        <x:f>'_計算月次'!$J$10</x:f>
        <x:v>448.7994857612148</x:v>
      </x:c>
      <x:c r="H550" s="563" t="n">
        <x:f>'_計算月次'!$K$10</x:f>
        <x:v>360</x:v>
      </x:c>
      <x:c r="I550" s="563" t="n">
        <x:f>(1-MAX(MIN('詳細設定'!$D$16,0.999999),0))^(B550-1)</x:f>
        <x:v>1</x:v>
      </x:c>
      <x:c r="J550" s="563" t="n">
        <x:f>MAX(G550*D550*I550,0)</x:f>
        <x:v>493.6794343373363</x:v>
      </x:c>
      <x:c r="K550" s="563" t="n">
        <x:f>MAX(MIN(J550*F550,H550),0)</x:f>
        <x:v>222.15574545180135</x:v>
      </x:c>
      <x:c r="L550" s="563" t="n">
        <x:f>MAX(J550-K550,0)</x:f>
        <x:v>271.52368888553497</x:v>
      </x:c>
      <x:c r="M550" s="185" t="n">
        <x:f>MAX('詳細設定'!$D$6,0)*(1+'詳細設定'!$D$21)^(B550-1)</x:f>
        <x:v>36.7853517535</x:v>
      </x:c>
      <x:c r="N550" s="185" t="n">
        <x:f>IF(B550&lt;=MAX(MIN('詳細設定'!$D$8,20),0),MAX('詳細設定'!$D$7,0),IF(B550&lt;=MAX(MIN('詳細設定'!$D$10,20),0),MAX('詳細設定'!$D$9,0),MAX('詳細設定'!$D$11,0)))</x:f>
        <x:v>8.3</x:v>
      </x:c>
      <x:c r="O550" s="190" t="n">
        <x:f>K550*M550</x:f>
        <x:v>8172.077240505521</x:v>
      </x:c>
      <x:c r="P550" s="190" t="n">
        <x:f>L550*N550</x:f>
        <x:v>2253.6466177499406</x:v>
      </x:c>
      <x:c r="Q550" s="190" t="n">
        <x:f>O550+P550</x:f>
        <x:v>10425.723858255462</x:v>
      </x:c>
      <x:c r="R550" s="196" t="n">
        <x:f>J550-K550-L550</x:f>
        <x:v>0</x:v>
      </x:c>
    </x:row>
    <x:row r="551">
      <x:c r="A551" s="20" t="str">
        <x:v>上振れ</x:v>
      </x:c>
      <x:c r="B551" s="20" t="n">
        <x:v>6</x:v>
      </x:c>
      <x:c r="C551" s="20" t="n">
        <x:v>7</x:v>
      </x:c>
      <x:c r="D551" s="189" t="n">
        <x:v>1.1</x:v>
      </x:c>
      <x:c r="E551" s="189" t="n">
        <x:v>0.9</x:v>
      </x:c>
      <x:c r="F551" s="189" t="n">
        <x:f>MAX(MIN('詳細設定'!$D$15+0.05,1),0)</x:f>
        <x:v>0.45</x:v>
      </x:c>
      <x:c r="G551" s="563" t="n">
        <x:f>'_計算月次'!$J$11</x:f>
        <x:v>476.0181638067866</x:v>
      </x:c>
      <x:c r="H551" s="563" t="n">
        <x:f>'_計算月次'!$K$11</x:f>
        <x:v>405</x:v>
      </x:c>
      <x:c r="I551" s="563" t="n">
        <x:f>(1-MAX(MIN('詳細設定'!$D$16,0.999999),0))^(B551-1)</x:f>
        <x:v>1</x:v>
      </x:c>
      <x:c r="J551" s="563" t="n">
        <x:f>MAX(G551*D551*I551,0)</x:f>
        <x:v>523.6199801874653</x:v>
      </x:c>
      <x:c r="K551" s="563" t="n">
        <x:f>MAX(MIN(J551*F551,H551),0)</x:f>
        <x:v>235.6289910843594</x:v>
      </x:c>
      <x:c r="L551" s="563" t="n">
        <x:f>MAX(J551-K551,0)</x:f>
        <x:v>287.9909891031059</x:v>
      </x:c>
      <x:c r="M551" s="185" t="n">
        <x:f>MAX('詳細設定'!$D$6,0)*(1+'詳細設定'!$D$21)^(B551-1)</x:f>
        <x:v>36.7853517535</x:v>
      </x:c>
      <x:c r="N551" s="185" t="n">
        <x:f>IF(B551&lt;=MAX(MIN('詳細設定'!$D$8,20),0),MAX('詳細設定'!$D$7,0),IF(B551&lt;=MAX(MIN('詳細設定'!$D$10,20),0),MAX('詳細設定'!$D$9,0),MAX('詳細設定'!$D$11,0)))</x:f>
        <x:v>8.3</x:v>
      </x:c>
      <x:c r="O551" s="190" t="n">
        <x:f>K551*M551</x:f>
        <x:v>8667.695320360477</x:v>
      </x:c>
      <x:c r="P551" s="190" t="n">
        <x:f>L551*N551</x:f>
        <x:v>2390.325209555779</x:v>
      </x:c>
      <x:c r="Q551" s="190" t="n">
        <x:f>O551+P551</x:f>
        <x:v>11058.020529916255</x:v>
      </x:c>
      <x:c r="R551" s="196" t="n">
        <x:f>J551-K551-L551</x:f>
        <x:v>0</x:v>
      </x:c>
    </x:row>
    <x:row r="552">
      <x:c r="A552" s="20" t="str">
        <x:v>上振れ</x:v>
      </x:c>
      <x:c r="B552" s="20" t="n">
        <x:v>6</x:v>
      </x:c>
      <x:c r="C552" s="20" t="n">
        <x:v>8</x:v>
      </x:c>
      <x:c r="D552" s="189" t="n">
        <x:v>1.1</x:v>
      </x:c>
      <x:c r="E552" s="189" t="n">
        <x:v>0.9</x:v>
      </x:c>
      <x:c r="F552" s="189" t="n">
        <x:f>MAX(MIN('詳細設定'!$D$15+0.05,1),0)</x:f>
        <x:v>0.45</x:v>
      </x:c>
      <x:c r="G552" s="563" t="n">
        <x:f>'_計算月次'!$J$12</x:f>
        <x:v>528.6548067323699</x:v>
      </x:c>
      <x:c r="H552" s="563" t="n">
        <x:f>'_計算月次'!$K$12</x:f>
        <x:v>450</x:v>
      </x:c>
      <x:c r="I552" s="563" t="n">
        <x:f>(1-MAX(MIN('詳細設定'!$D$16,0.999999),0))^(B552-1)</x:f>
        <x:v>1</x:v>
      </x:c>
      <x:c r="J552" s="563" t="n">
        <x:f>MAX(G552*D552*I552,0)</x:f>
        <x:v>581.520287405607</x:v>
      </x:c>
      <x:c r="K552" s="563" t="n">
        <x:f>MAX(MIN(J552*F552,H552),0)</x:f>
        <x:v>261.6841293325231</x:v>
      </x:c>
      <x:c r="L552" s="563" t="n">
        <x:f>MAX(J552-K552,0)</x:f>
        <x:v>319.8361580730838</x:v>
      </x:c>
      <x:c r="M552" s="185" t="n">
        <x:f>MAX('詳細設定'!$D$6,0)*(1+'詳細設定'!$D$21)^(B552-1)</x:f>
        <x:v>36.7853517535</x:v>
      </x:c>
      <x:c r="N552" s="185" t="n">
        <x:f>IF(B552&lt;=MAX(MIN('詳細設定'!$D$8,20),0),MAX('詳細設定'!$D$7,0),IF(B552&lt;=MAX(MIN('詳細設定'!$D$10,20),0),MAX('詳細設定'!$D$9,0),MAX('詳細設定'!$D$11,0)))</x:f>
        <x:v>8.3</x:v>
      </x:c>
      <x:c r="O552" s="190" t="n">
        <x:f>K552*M552</x:f>
        <x:v>9626.142745805251</x:v>
      </x:c>
      <x:c r="P552" s="190" t="n">
        <x:f>L552*N552</x:f>
        <x:v>2654.640112006596</x:v>
      </x:c>
      <x:c r="Q552" s="190" t="n">
        <x:f>O552+P552</x:f>
        <x:v>12280.782857811848</x:v>
      </x:c>
      <x:c r="R552" s="196" t="n">
        <x:f>J552-K552-L552</x:f>
        <x:v>0</x:v>
      </x:c>
    </x:row>
    <x:row r="553">
      <x:c r="A553" s="20" t="str">
        <x:v>上振れ</x:v>
      </x:c>
      <x:c r="B553" s="20" t="n">
        <x:v>6</x:v>
      </x:c>
      <x:c r="C553" s="20" t="n">
        <x:v>9</x:v>
      </x:c>
      <x:c r="D553" s="189" t="n">
        <x:v>1.1</x:v>
      </x:c>
      <x:c r="E553" s="189" t="n">
        <x:v>0.9</x:v>
      </x:c>
      <x:c r="F553" s="189" t="n">
        <x:f>MAX(MIN('詳細設定'!$D$15+0.05,1),0)</x:f>
        <x:v>0.45</x:v>
      </x:c>
      <x:c r="G553" s="563" t="n">
        <x:f>'_計算月次'!$J$13</x:f>
        <x:v>436.37734765103465</x:v>
      </x:c>
      <x:c r="H553" s="563" t="n">
        <x:f>'_計算月次'!$K$13</x:f>
        <x:v>360</x:v>
      </x:c>
      <x:c r="I553" s="563" t="n">
        <x:f>(1-MAX(MIN('詳細設定'!$D$16,0.999999),0))^(B553-1)</x:f>
        <x:v>1</x:v>
      </x:c>
      <x:c r="J553" s="563" t="n">
        <x:f>MAX(G553*D553*I553,0)</x:f>
        <x:v>480.01508241613817</x:v>
      </x:c>
      <x:c r="K553" s="563" t="n">
        <x:f>MAX(MIN(J553*F553,H553),0)</x:f>
        <x:v>216.00678708726218</x:v>
      </x:c>
      <x:c r="L553" s="563" t="n">
        <x:f>MAX(J553-K553,0)</x:f>
        <x:v>264.008295328876</x:v>
      </x:c>
      <x:c r="M553" s="185" t="n">
        <x:f>MAX('詳細設定'!$D$6,0)*(1+'詳細設定'!$D$21)^(B553-1)</x:f>
        <x:v>36.7853517535</x:v>
      </x:c>
      <x:c r="N553" s="185" t="n">
        <x:f>IF(B553&lt;=MAX(MIN('詳細設定'!$D$8,20),0),MAX('詳細設定'!$D$7,0),IF(B553&lt;=MAX(MIN('詳細設定'!$D$10,20),0),MAX('詳細設定'!$D$9,0),MAX('詳細設定'!$D$11,0)))</x:f>
        <x:v>8.3</x:v>
      </x:c>
      <x:c r="O553" s="190" t="n">
        <x:f>K553*M553</x:f>
        <x:v>7945.885644148321</x:v>
      </x:c>
      <x:c r="P553" s="190" t="n">
        <x:f>L553*N553</x:f>
        <x:v>2191.268851229671</x:v>
      </x:c>
      <x:c r="Q553" s="190" t="n">
        <x:f>O553+P553</x:f>
        <x:v>10137.154495377992</x:v>
      </x:c>
      <x:c r="R553" s="196" t="n">
        <x:f>J553-K553-L553</x:f>
        <x:v>0</x:v>
      </x:c>
    </x:row>
    <x:row r="554">
      <x:c r="A554" s="20" t="str">
        <x:v>上振れ</x:v>
      </x:c>
      <x:c r="B554" s="20" t="n">
        <x:v>6</x:v>
      </x:c>
      <x:c r="C554" s="20" t="n">
        <x:v>10</x:v>
      </x:c>
      <x:c r="D554" s="189" t="n">
        <x:v>1.1</x:v>
      </x:c>
      <x:c r="E554" s="189" t="n">
        <x:v>0.9</x:v>
      </x:c>
      <x:c r="F554" s="189" t="n">
        <x:f>MAX(MIN('詳細設定'!$D$15+0.05,1),0)</x:f>
        <x:v>0.45</x:v>
      </x:c>
      <x:c r="G554" s="563" t="n">
        <x:f>'_計算月次'!$J$14</x:f>
        <x:v>408.8269849869007</x:v>
      </x:c>
      <x:c r="H554" s="563" t="n">
        <x:f>'_計算月次'!$K$14</x:f>
        <x:v>315.00000000000006</x:v>
      </x:c>
      <x:c r="I554" s="563" t="n">
        <x:f>(1-MAX(MIN('詳細設定'!$D$16,0.999999),0))^(B554-1)</x:f>
        <x:v>1</x:v>
      </x:c>
      <x:c r="J554" s="563" t="n">
        <x:f>MAX(G554*D554*I554,0)</x:f>
        <x:v>449.7096834855908</x:v>
      </x:c>
      <x:c r="K554" s="563" t="n">
        <x:f>MAX(MIN(J554*F554,H554),0)</x:f>
        <x:v>202.36935756851585</x:v>
      </x:c>
      <x:c r="L554" s="563" t="n">
        <x:f>MAX(J554-K554,0)</x:f>
        <x:v>247.34032591707495</x:v>
      </x:c>
      <x:c r="M554" s="185" t="n">
        <x:f>MAX('詳細設定'!$D$6,0)*(1+'詳細設定'!$D$21)^(B554-1)</x:f>
        <x:v>36.7853517535</x:v>
      </x:c>
      <x:c r="N554" s="185" t="n">
        <x:f>IF(B554&lt;=MAX(MIN('詳細設定'!$D$8,20),0),MAX('詳細設定'!$D$7,0),IF(B554&lt;=MAX(MIN('詳細設定'!$D$10,20),0),MAX('詳細設定'!$D$9,0),MAX('詳細設定'!$D$11,0)))</x:f>
        <x:v>8.3</x:v>
      </x:c>
      <x:c r="O554" s="190" t="n">
        <x:f>K554*M554</x:f>
        <x:v>7444.228002287674</x:v>
      </x:c>
      <x:c r="P554" s="190" t="n">
        <x:f>L554*N554</x:f>
        <x:v>2052.9247051117222</x:v>
      </x:c>
      <x:c r="Q554" s="190" t="n">
        <x:f>O554+P554</x:f>
        <x:v>9497.152707399397</x:v>
      </x:c>
      <x:c r="R554" s="196" t="n">
        <x:f>J554-K554-L554</x:f>
        <x:v>0</x:v>
      </x:c>
    </x:row>
    <x:row r="555">
      <x:c r="A555" s="20" t="str">
        <x:v>上振れ</x:v>
      </x:c>
      <x:c r="B555" s="20" t="n">
        <x:v>6</x:v>
      </x:c>
      <x:c r="C555" s="20" t="n">
        <x:v>11</x:v>
      </x:c>
      <x:c r="D555" s="189" t="n">
        <x:v>1.1</x:v>
      </x:c>
      <x:c r="E555" s="189" t="n">
        <x:v>0.9</x:v>
      </x:c>
      <x:c r="F555" s="189" t="n">
        <x:f>MAX(MIN('詳細設定'!$D$15+0.05,1),0)</x:f>
        <x:v>0.45</x:v>
      </x:c>
      <x:c r="G555" s="563" t="n">
        <x:f>'_計算月次'!$J$15</x:f>
        <x:v>398.45169764745054</x:v>
      </x:c>
      <x:c r="H555" s="563" t="n">
        <x:f>'_計算月次'!$K$15</x:f>
        <x:v>360</x:v>
      </x:c>
      <x:c r="I555" s="563" t="n">
        <x:f>(1-MAX(MIN('詳細設定'!$D$16,0.999999),0))^(B555-1)</x:f>
        <x:v>1</x:v>
      </x:c>
      <x:c r="J555" s="563" t="n">
        <x:f>MAX(G555*D555*I555,0)</x:f>
        <x:v>438.29686741219564</x:v>
      </x:c>
      <x:c r="K555" s="563" t="n">
        <x:f>MAX(MIN(J555*F555,H555),0)</x:f>
        <x:v>197.23359033548803</x:v>
      </x:c>
      <x:c r="L555" s="563" t="n">
        <x:f>MAX(J555-K555,0)</x:f>
        <x:v>241.0632770767076</x:v>
      </x:c>
      <x:c r="M555" s="185" t="n">
        <x:f>MAX('詳細設定'!$D$6,0)*(1+'詳細設定'!$D$21)^(B555-1)</x:f>
        <x:v>36.7853517535</x:v>
      </x:c>
      <x:c r="N555" s="185" t="n">
        <x:f>IF(B555&lt;=MAX(MIN('詳細設定'!$D$8,20),0),MAX('詳細設定'!$D$7,0),IF(B555&lt;=MAX(MIN('詳細設定'!$D$10,20),0),MAX('詳細設定'!$D$9,0),MAX('詳細設定'!$D$11,0)))</x:f>
        <x:v>8.3</x:v>
      </x:c>
      <x:c r="O555" s="190" t="n">
        <x:f>K555*M555</x:f>
        <x:v>7255.306998096646</x:v>
      </x:c>
      <x:c r="P555" s="190" t="n">
        <x:f>L555*N555</x:f>
        <x:v>2000.8251997366733</x:v>
      </x:c>
      <x:c r="Q555" s="190" t="n">
        <x:f>O555+P555</x:f>
        <x:v>9256.132197833318</x:v>
      </x:c>
      <x:c r="R555" s="196" t="n">
        <x:f>J555-K555-L555</x:f>
        <x:v>0</x:v>
      </x:c>
    </x:row>
    <x:row r="556">
      <x:c r="A556" s="20" t="str">
        <x:v>上振れ</x:v>
      </x:c>
      <x:c r="B556" s="20" t="n">
        <x:v>6</x:v>
      </x:c>
      <x:c r="C556" s="20" t="n">
        <x:v>12</x:v>
      </x:c>
      <x:c r="D556" s="189" t="n">
        <x:v>1.1</x:v>
      </x:c>
      <x:c r="E556" s="189" t="n">
        <x:v>0.9</x:v>
      </x:c>
      <x:c r="F556" s="189" t="n">
        <x:f>MAX(MIN('詳細設定'!$D$15+0.05,1),0)</x:f>
        <x:v>0.45</x:v>
      </x:c>
      <x:c r="G556" s="563" t="n">
        <x:f>'_計算月次'!$J$16</x:f>
        <x:v>443.97248688000184</x:v>
      </x:c>
      <x:c r="H556" s="563" t="n">
        <x:f>'_計算月次'!$K$16</x:f>
        <x:v>405</x:v>
      </x:c>
      <x:c r="I556" s="563" t="n">
        <x:f>(1-MAX(MIN('詳細設定'!$D$16,0.999999),0))^(B556-1)</x:f>
        <x:v>1</x:v>
      </x:c>
      <x:c r="J556" s="563" t="n">
        <x:f>MAX(G556*D556*I556,0)</x:f>
        <x:v>488.36973556800206</x:v>
      </x:c>
      <x:c r="K556" s="563" t="n">
        <x:f>MAX(MIN(J556*F556,H556),0)</x:f>
        <x:v>219.76638100560092</x:v>
      </x:c>
      <x:c r="L556" s="563" t="n">
        <x:f>MAX(J556-K556,0)</x:f>
        <x:v>268.60335456240114</x:v>
      </x:c>
      <x:c r="M556" s="185" t="n">
        <x:f>MAX('詳細設定'!$D$6,0)*(1+'詳細設定'!$D$21)^(B556-1)</x:f>
        <x:v>36.7853517535</x:v>
      </x:c>
      <x:c r="N556" s="185" t="n">
        <x:f>IF(B556&lt;=MAX(MIN('詳細設定'!$D$8,20),0),MAX('詳細設定'!$D$7,0),IF(B556&lt;=MAX(MIN('詳細設定'!$D$10,20),0),MAX('詳細設定'!$D$9,0),MAX('詳細設定'!$D$11,0)))</x:f>
        <x:v>8.3</x:v>
      </x:c>
      <x:c r="O556" s="190" t="n">
        <x:f>K556*M556</x:f>
        <x:v>8084.183628884732</x:v>
      </x:c>
      <x:c r="P556" s="190" t="n">
        <x:f>L556*N556</x:f>
        <x:v>2229.4078428679295</x:v>
      </x:c>
      <x:c r="Q556" s="190" t="n">
        <x:f>O556+P556</x:f>
        <x:v>10313.591471752661</x:v>
      </x:c>
      <x:c r="R556" s="196" t="n">
        <x:f>J556-K556-L556</x:f>
        <x:v>0</x:v>
      </x:c>
    </x:row>
    <x:row r="557">
      <x:c r="A557" s="20" t="str">
        <x:v>上振れ</x:v>
      </x:c>
      <x:c r="B557" s="20" t="n">
        <x:v>7</x:v>
      </x:c>
      <x:c r="C557" s="20" t="n">
        <x:v>1</x:v>
      </x:c>
      <x:c r="D557" s="189" t="n">
        <x:v>1.1</x:v>
      </x:c>
      <x:c r="E557" s="189" t="n">
        <x:v>0.9</x:v>
      </x:c>
      <x:c r="F557" s="189" t="n">
        <x:f>MAX(MIN('詳細設定'!$D$15+0.05,1),0)</x:f>
        <x:v>0.45</x:v>
      </x:c>
      <x:c r="G557" s="563" t="n">
        <x:f>'_計算月次'!$J$5</x:f>
        <x:v>502.4147595742038</x:v>
      </x:c>
      <x:c r="H557" s="563" t="n">
        <x:f>'_計算月次'!$K$5</x:f>
        <x:v>450</x:v>
      </x:c>
      <x:c r="I557" s="563" t="n">
        <x:f>(1-MAX(MIN('詳細設定'!$D$16,0.999999),0))^(B557-1)</x:f>
        <x:v>1</x:v>
      </x:c>
      <x:c r="J557" s="563" t="n">
        <x:f>MAX(G557*D557*I557,0)</x:f>
        <x:v>552.6562355316242</x:v>
      </x:c>
      <x:c r="K557" s="563" t="n">
        <x:f>MAX(MIN(J557*F557,H557),0)</x:f>
        <x:v>248.69530598923092</x:v>
      </x:c>
      <x:c r="L557" s="563" t="n">
        <x:f>MAX(J557-K557,0)</x:f>
        <x:v>303.96092954239333</x:v>
      </x:c>
      <x:c r="M557" s="185" t="n">
        <x:f>MAX('詳細設定'!$D$6,0)*(1+'詳細設定'!$D$21)^(B557-1)</x:f>
        <x:v>37.153205271035006</x:v>
      </x:c>
      <x:c r="N557" s="185" t="n">
        <x:f>IF(B557&lt;=MAX(MIN('詳細設定'!$D$8,20),0),MAX('詳細設定'!$D$7,0),IF(B557&lt;=MAX(MIN('詳細設定'!$D$10,20),0),MAX('詳細設定'!$D$9,0),MAX('詳細設定'!$D$11,0)))</x:f>
        <x:v>8.3</x:v>
      </x:c>
      <x:c r="O557" s="190" t="n">
        <x:f>K557*M557</x:f>
        <x:v>9239.827753360758</x:v>
      </x:c>
      <x:c r="P557" s="190" t="n">
        <x:f>L557*N557</x:f>
        <x:v>2522.8757152018648</x:v>
      </x:c>
      <x:c r="Q557" s="190" t="n">
        <x:f>O557+P557</x:f>
        <x:v>11762.703468562622</x:v>
      </x:c>
      <x:c r="R557" s="196" t="n">
        <x:f>J557-K557-L557</x:f>
        <x:v>0</x:v>
      </x:c>
    </x:row>
    <x:row r="558">
      <x:c r="A558" s="20" t="str">
        <x:v>上振れ</x:v>
      </x:c>
      <x:c r="B558" s="20" t="n">
        <x:v>7</x:v>
      </x:c>
      <x:c r="C558" s="20" t="n">
        <x:v>2</x:v>
      </x:c>
      <x:c r="D558" s="189" t="n">
        <x:v>1.1</x:v>
      </x:c>
      <x:c r="E558" s="189" t="n">
        <x:v>0.9</x:v>
      </x:c>
      <x:c r="F558" s="189" t="n">
        <x:f>MAX(MIN('詳細設定'!$D$15+0.05,1),0)</x:f>
        <x:v>0.45</x:v>
      </x:c>
      <x:c r="G558" s="563" t="n">
        <x:f>'_計算月次'!$J$6</x:f>
        <x:v>472.4508339500229</x:v>
      </x:c>
      <x:c r="H558" s="563" t="n">
        <x:f>'_計算月次'!$K$6</x:f>
        <x:v>405</x:v>
      </x:c>
      <x:c r="I558" s="563" t="n">
        <x:f>(1-MAX(MIN('詳細設定'!$D$16,0.999999),0))^(B558-1)</x:f>
        <x:v>1</x:v>
      </x:c>
      <x:c r="J558" s="563" t="n">
        <x:f>MAX(G558*D558*I558,0)</x:f>
        <x:v>519.6959173450252</x:v>
      </x:c>
      <x:c r="K558" s="563" t="n">
        <x:f>MAX(MIN(J558*F558,H558),0)</x:f>
        <x:v>233.86316280526137</x:v>
      </x:c>
      <x:c r="L558" s="563" t="n">
        <x:f>MAX(J558-K558,0)</x:f>
        <x:v>285.83275453976387</x:v>
      </x:c>
      <x:c r="M558" s="185" t="n">
        <x:f>MAX('詳細設定'!$D$6,0)*(1+'詳細設定'!$D$21)^(B558-1)</x:f>
        <x:v>37.153205271035006</x:v>
      </x:c>
      <x:c r="N558" s="185" t="n">
        <x:f>IF(B558&lt;=MAX(MIN('詳細設定'!$D$8,20),0),MAX('詳細設定'!$D$7,0),IF(B558&lt;=MAX(MIN('詳細設定'!$D$10,20),0),MAX('詳細設定'!$D$9,0),MAX('詳細設定'!$D$11,0)))</x:f>
        <x:v>8.3</x:v>
      </x:c>
      <x:c r="O558" s="190" t="n">
        <x:f>K558*M558</x:f>
        <x:v>8688.766093037355</x:v>
      </x:c>
      <x:c r="P558" s="190" t="n">
        <x:f>L558*N558</x:f>
        <x:v>2372.4118626800405</x:v>
      </x:c>
      <x:c r="Q558" s="190" t="n">
        <x:f>O558+P558</x:f>
        <x:v>11061.177955717396</x:v>
      </x:c>
      <x:c r="R558" s="196" t="n">
        <x:f>J558-K558-L558</x:f>
        <x:v>0</x:v>
      </x:c>
    </x:row>
    <x:row r="559">
      <x:c r="A559" s="20" t="str">
        <x:v>上振れ</x:v>
      </x:c>
      <x:c r="B559" s="20" t="n">
        <x:v>7</x:v>
      </x:c>
      <x:c r="C559" s="20" t="n">
        <x:v>3</x:v>
      </x:c>
      <x:c r="D559" s="189" t="n">
        <x:v>1.1</x:v>
      </x:c>
      <x:c r="E559" s="189" t="n">
        <x:v>0.9</x:v>
      </x:c>
      <x:c r="F559" s="189" t="n">
        <x:f>MAX(MIN('詳細設定'!$D$15+0.05,1),0)</x:f>
        <x:v>0.45</x:v>
      </x:c>
      <x:c r="G559" s="563" t="n">
        <x:f>'_計算月次'!$J$7</x:f>
        <x:v>548.3418864753118</x:v>
      </x:c>
      <x:c r="H559" s="563" t="n">
        <x:f>'_計算月次'!$K$7</x:f>
        <x:v>360</x:v>
      </x:c>
      <x:c r="I559" s="563" t="n">
        <x:f>(1-MAX(MIN('詳細設定'!$D$16,0.999999),0))^(B559-1)</x:f>
        <x:v>1</x:v>
      </x:c>
      <x:c r="J559" s="563" t="n">
        <x:f>MAX(G559*D559*I559,0)</x:f>
        <x:v>603.176075122843</x:v>
      </x:c>
      <x:c r="K559" s="563" t="n">
        <x:f>MAX(MIN(J559*F559,H559),0)</x:f>
        <x:v>271.42923380527935</x:v>
      </x:c>
      <x:c r="L559" s="563" t="n">
        <x:f>MAX(J559-K559,0)</x:f>
        <x:v>331.7468413175637</x:v>
      </x:c>
      <x:c r="M559" s="185" t="n">
        <x:f>MAX('詳細設定'!$D$6,0)*(1+'詳細設定'!$D$21)^(B559-1)</x:f>
        <x:v>37.153205271035006</x:v>
      </x:c>
      <x:c r="N559" s="185" t="n">
        <x:f>IF(B559&lt;=MAX(MIN('詳細設定'!$D$8,20),0),MAX('詳細設定'!$D$7,0),IF(B559&lt;=MAX(MIN('詳細設定'!$D$10,20),0),MAX('詳細設定'!$D$9,0),MAX('詳細設定'!$D$11,0)))</x:f>
        <x:v>8.3</x:v>
      </x:c>
      <x:c r="O559" s="190" t="n">
        <x:f>K559*M559</x:f>
        <x:v>10084.466040127298</x:v>
      </x:c>
      <x:c r="P559" s="190" t="n">
        <x:f>L559*N559</x:f>
        <x:v>2753.4987829357788</x:v>
      </x:c>
      <x:c r="Q559" s="190" t="n">
        <x:f>O559+P559</x:f>
        <x:v>12837.964823063077</x:v>
      </x:c>
      <x:c r="R559" s="196" t="n">
        <x:f>J559-K559-L559</x:f>
        <x:v>0</x:v>
      </x:c>
    </x:row>
    <x:row r="560">
      <x:c r="A560" s="20" t="str">
        <x:v>上振れ</x:v>
      </x:c>
      <x:c r="B560" s="20" t="n">
        <x:v>7</x:v>
      </x:c>
      <x:c r="C560" s="20" t="n">
        <x:v>4</x:v>
      </x:c>
      <x:c r="D560" s="189" t="n">
        <x:v>1.1</x:v>
      </x:c>
      <x:c r="E560" s="189" t="n">
        <x:v>0.9</x:v>
      </x:c>
      <x:c r="F560" s="189" t="n">
        <x:f>MAX(MIN('詳細設定'!$D$15+0.05,1),0)</x:f>
        <x:v>0.45</x:v>
      </x:c>
      <x:c r="G560" s="563" t="n">
        <x:f>'_計算月次'!$J$8</x:f>
        <x:v>548.3944393749554</x:v>
      </x:c>
      <x:c r="H560" s="563" t="n">
        <x:f>'_計算月次'!$K$8</x:f>
        <x:v>315.00000000000006</x:v>
      </x:c>
      <x:c r="I560" s="563" t="n">
        <x:f>(1-MAX(MIN('詳細設定'!$D$16,0.999999),0))^(B560-1)</x:f>
        <x:v>1</x:v>
      </x:c>
      <x:c r="J560" s="563" t="n">
        <x:f>MAX(G560*D560*I560,0)</x:f>
        <x:v>603.233883312451</x:v>
      </x:c>
      <x:c r="K560" s="563" t="n">
        <x:f>MAX(MIN(J560*F560,H560),0)</x:f>
        <x:v>271.45524749060297</x:v>
      </x:c>
      <x:c r="L560" s="563" t="n">
        <x:f>MAX(J560-K560,0)</x:f>
        <x:v>331.778635821848</x:v>
      </x:c>
      <x:c r="M560" s="185" t="n">
        <x:f>MAX('詳細設定'!$D$6,0)*(1+'詳細設定'!$D$21)^(B560-1)</x:f>
        <x:v>37.153205271035006</x:v>
      </x:c>
      <x:c r="N560" s="185" t="n">
        <x:f>IF(B560&lt;=MAX(MIN('詳細設定'!$D$8,20),0),MAX('詳細設定'!$D$7,0),IF(B560&lt;=MAX(MIN('詳細設定'!$D$10,20),0),MAX('詳細設定'!$D$9,0),MAX('詳細設定'!$D$11,0)))</x:f>
        <x:v>8.3</x:v>
      </x:c>
      <x:c r="O560" s="190" t="n">
        <x:f>K560*M560</x:f>
        <x:v>10085.432531917982</x:v>
      </x:c>
      <x:c r="P560" s="190" t="n">
        <x:f>L560*N560</x:f>
        <x:v>2753.7626773213387</x:v>
      </x:c>
      <x:c r="Q560" s="190" t="n">
        <x:f>O560+P560</x:f>
        <x:v>12839.195209239322</x:v>
      </x:c>
      <x:c r="R560" s="196" t="n">
        <x:f>J560-K560-L560</x:f>
        <x:v>0</x:v>
      </x:c>
    </x:row>
    <x:row r="561">
      <x:c r="A561" s="20" t="str">
        <x:v>上振れ</x:v>
      </x:c>
      <x:c r="B561" s="20" t="n">
        <x:v>7</x:v>
      </x:c>
      <x:c r="C561" s="20" t="n">
        <x:v>5</x:v>
      </x:c>
      <x:c r="D561" s="189" t="n">
        <x:v>1.1</x:v>
      </x:c>
      <x:c r="E561" s="189" t="n">
        <x:v>0.9</x:v>
      </x:c>
      <x:c r="F561" s="189" t="n">
        <x:f>MAX(MIN('詳細設定'!$D$15+0.05,1),0)</x:f>
        <x:v>0.45</x:v>
      </x:c>
      <x:c r="G561" s="563" t="n">
        <x:f>'_計算月次'!$J$9</x:f>
        <x:v>552.2367574934775</x:v>
      </x:c>
      <x:c r="H561" s="563" t="n">
        <x:f>'_計算月次'!$K$9</x:f>
        <x:v>315.00000000000006</x:v>
      </x:c>
      <x:c r="I561" s="563" t="n">
        <x:f>(1-MAX(MIN('詳細設定'!$D$16,0.999999),0))^(B561-1)</x:f>
        <x:v>1</x:v>
      </x:c>
      <x:c r="J561" s="563" t="n">
        <x:f>MAX(G561*D561*I561,0)</x:f>
        <x:v>607.4604332428253</x:v>
      </x:c>
      <x:c r="K561" s="563" t="n">
        <x:f>MAX(MIN(J561*F561,H561),0)</x:f>
        <x:v>273.3571949592714</x:v>
      </x:c>
      <x:c r="L561" s="563" t="n">
        <x:f>MAX(J561-K561,0)</x:f>
        <x:v>334.1032382835539</x:v>
      </x:c>
      <x:c r="M561" s="185" t="n">
        <x:f>MAX('詳細設定'!$D$6,0)*(1+'詳細設定'!$D$21)^(B561-1)</x:f>
        <x:v>37.153205271035006</x:v>
      </x:c>
      <x:c r="N561" s="185" t="n">
        <x:f>IF(B561&lt;=MAX(MIN('詳細設定'!$D$8,20),0),MAX('詳細設定'!$D$7,0),IF(B561&lt;=MAX(MIN('詳細設定'!$D$10,20),0),MAX('詳細設定'!$D$9,0),MAX('詳細設定'!$D$11,0)))</x:f>
        <x:v>8.3</x:v>
      </x:c>
      <x:c r="O561" s="190" t="n">
        <x:f>K561*M561</x:f>
        <x:v>10156.095976636147</x:v>
      </x:c>
      <x:c r="P561" s="190" t="n">
        <x:f>L561*N561</x:f>
        <x:v>2773.0568777534972</x:v>
      </x:c>
      <x:c r="Q561" s="190" t="n">
        <x:f>O561+P561</x:f>
        <x:v>12929.152854389644</x:v>
      </x:c>
      <x:c r="R561" s="196" t="n">
        <x:f>J561-K561-L561</x:f>
        <x:v>0</x:v>
      </x:c>
    </x:row>
    <x:row r="562">
      <x:c r="A562" s="20" t="str">
        <x:v>上振れ</x:v>
      </x:c>
      <x:c r="B562" s="20" t="n">
        <x:v>7</x:v>
      </x:c>
      <x:c r="C562" s="20" t="n">
        <x:v>6</x:v>
      </x:c>
      <x:c r="D562" s="189" t="n">
        <x:v>1.1</x:v>
      </x:c>
      <x:c r="E562" s="189" t="n">
        <x:v>0.9</x:v>
      </x:c>
      <x:c r="F562" s="189" t="n">
        <x:f>MAX(MIN('詳細設定'!$D$15+0.05,1),0)</x:f>
        <x:v>0.45</x:v>
      </x:c>
      <x:c r="G562" s="563" t="n">
        <x:f>'_計算月次'!$J$10</x:f>
        <x:v>448.7994857612148</x:v>
      </x:c>
      <x:c r="H562" s="563" t="n">
        <x:f>'_計算月次'!$K$10</x:f>
        <x:v>360</x:v>
      </x:c>
      <x:c r="I562" s="563" t="n">
        <x:f>(1-MAX(MIN('詳細設定'!$D$16,0.999999),0))^(B562-1)</x:f>
        <x:v>1</x:v>
      </x:c>
      <x:c r="J562" s="563" t="n">
        <x:f>MAX(G562*D562*I562,0)</x:f>
        <x:v>493.6794343373363</x:v>
      </x:c>
      <x:c r="K562" s="563" t="n">
        <x:f>MAX(MIN(J562*F562,H562),0)</x:f>
        <x:v>222.15574545180135</x:v>
      </x:c>
      <x:c r="L562" s="563" t="n">
        <x:f>MAX(J562-K562,0)</x:f>
        <x:v>271.52368888553497</x:v>
      </x:c>
      <x:c r="M562" s="185" t="n">
        <x:f>MAX('詳細設定'!$D$6,0)*(1+'詳細設定'!$D$21)^(B562-1)</x:f>
        <x:v>37.153205271035006</x:v>
      </x:c>
      <x:c r="N562" s="185" t="n">
        <x:f>IF(B562&lt;=MAX(MIN('詳細設定'!$D$8,20),0),MAX('詳細設定'!$D$7,0),IF(B562&lt;=MAX(MIN('詳細設定'!$D$10,20),0),MAX('詳細設定'!$D$9,0),MAX('詳細設定'!$D$11,0)))</x:f>
        <x:v>8.3</x:v>
      </x:c>
      <x:c r="O562" s="190" t="n">
        <x:f>K562*M562</x:f>
        <x:v>8253.798012910576</x:v>
      </x:c>
      <x:c r="P562" s="190" t="n">
        <x:f>L562*N562</x:f>
        <x:v>2253.6466177499406</x:v>
      </x:c>
      <x:c r="Q562" s="190" t="n">
        <x:f>O562+P562</x:f>
        <x:v>10507.444630660517</x:v>
      </x:c>
      <x:c r="R562" s="196" t="n">
        <x:f>J562-K562-L562</x:f>
        <x:v>0</x:v>
      </x:c>
    </x:row>
    <x:row r="563">
      <x:c r="A563" s="20" t="str">
        <x:v>上振れ</x:v>
      </x:c>
      <x:c r="B563" s="20" t="n">
        <x:v>7</x:v>
      </x:c>
      <x:c r="C563" s="20" t="n">
        <x:v>7</x:v>
      </x:c>
      <x:c r="D563" s="189" t="n">
        <x:v>1.1</x:v>
      </x:c>
      <x:c r="E563" s="189" t="n">
        <x:v>0.9</x:v>
      </x:c>
      <x:c r="F563" s="189" t="n">
        <x:f>MAX(MIN('詳細設定'!$D$15+0.05,1),0)</x:f>
        <x:v>0.45</x:v>
      </x:c>
      <x:c r="G563" s="563" t="n">
        <x:f>'_計算月次'!$J$11</x:f>
        <x:v>476.0181638067866</x:v>
      </x:c>
      <x:c r="H563" s="563" t="n">
        <x:f>'_計算月次'!$K$11</x:f>
        <x:v>405</x:v>
      </x:c>
      <x:c r="I563" s="563" t="n">
        <x:f>(1-MAX(MIN('詳細設定'!$D$16,0.999999),0))^(B563-1)</x:f>
        <x:v>1</x:v>
      </x:c>
      <x:c r="J563" s="563" t="n">
        <x:f>MAX(G563*D563*I563,0)</x:f>
        <x:v>523.6199801874653</x:v>
      </x:c>
      <x:c r="K563" s="563" t="n">
        <x:f>MAX(MIN(J563*F563,H563),0)</x:f>
        <x:v>235.6289910843594</x:v>
      </x:c>
      <x:c r="L563" s="563" t="n">
        <x:f>MAX(J563-K563,0)</x:f>
        <x:v>287.9909891031059</x:v>
      </x:c>
      <x:c r="M563" s="185" t="n">
        <x:f>MAX('詳細設定'!$D$6,0)*(1+'詳細設定'!$D$21)^(B563-1)</x:f>
        <x:v>37.153205271035006</x:v>
      </x:c>
      <x:c r="N563" s="185" t="n">
        <x:f>IF(B563&lt;=MAX(MIN('詳細設定'!$D$8,20),0),MAX('詳細設定'!$D$7,0),IF(B563&lt;=MAX(MIN('詳細設定'!$D$10,20),0),MAX('詳細設定'!$D$9,0),MAX('詳細設定'!$D$11,0)))</x:f>
        <x:v>8.3</x:v>
      </x:c>
      <x:c r="O563" s="190" t="n">
        <x:f>K563*M563</x:f>
        <x:v>8754.372273564082</x:v>
      </x:c>
      <x:c r="P563" s="190" t="n">
        <x:f>L563*N563</x:f>
        <x:v>2390.325209555779</x:v>
      </x:c>
      <x:c r="Q563" s="190" t="n">
        <x:f>O563+P563</x:f>
        <x:v>11144.69748311986</x:v>
      </x:c>
      <x:c r="R563" s="196" t="n">
        <x:f>J563-K563-L563</x:f>
        <x:v>0</x:v>
      </x:c>
    </x:row>
    <x:row r="564">
      <x:c r="A564" s="20" t="str">
        <x:v>上振れ</x:v>
      </x:c>
      <x:c r="B564" s="20" t="n">
        <x:v>7</x:v>
      </x:c>
      <x:c r="C564" s="20" t="n">
        <x:v>8</x:v>
      </x:c>
      <x:c r="D564" s="189" t="n">
        <x:v>1.1</x:v>
      </x:c>
      <x:c r="E564" s="189" t="n">
        <x:v>0.9</x:v>
      </x:c>
      <x:c r="F564" s="189" t="n">
        <x:f>MAX(MIN('詳細設定'!$D$15+0.05,1),0)</x:f>
        <x:v>0.45</x:v>
      </x:c>
      <x:c r="G564" s="563" t="n">
        <x:f>'_計算月次'!$J$12</x:f>
        <x:v>528.6548067323699</x:v>
      </x:c>
      <x:c r="H564" s="563" t="n">
        <x:f>'_計算月次'!$K$12</x:f>
        <x:v>450</x:v>
      </x:c>
      <x:c r="I564" s="563" t="n">
        <x:f>(1-MAX(MIN('詳細設定'!$D$16,0.999999),0))^(B564-1)</x:f>
        <x:v>1</x:v>
      </x:c>
      <x:c r="J564" s="563" t="n">
        <x:f>MAX(G564*D564*I564,0)</x:f>
        <x:v>581.520287405607</x:v>
      </x:c>
      <x:c r="K564" s="563" t="n">
        <x:f>MAX(MIN(J564*F564,H564),0)</x:f>
        <x:v>261.6841293325231</x:v>
      </x:c>
      <x:c r="L564" s="563" t="n">
        <x:f>MAX(J564-K564,0)</x:f>
        <x:v>319.8361580730838</x:v>
      </x:c>
      <x:c r="M564" s="185" t="n">
        <x:f>MAX('詳細設定'!$D$6,0)*(1+'詳細設定'!$D$21)^(B564-1)</x:f>
        <x:v>37.153205271035006</x:v>
      </x:c>
      <x:c r="N564" s="185" t="n">
        <x:f>IF(B564&lt;=MAX(MIN('詳細設定'!$D$8,20),0),MAX('詳細設定'!$D$7,0),IF(B564&lt;=MAX(MIN('詳細設定'!$D$10,20),0),MAX('詳細設定'!$D$9,0),MAX('詳細設定'!$D$11,0)))</x:f>
        <x:v>8.3</x:v>
      </x:c>
      <x:c r="O564" s="190" t="n">
        <x:f>K564*M564</x:f>
        <x:v>9722.404173263305</x:v>
      </x:c>
      <x:c r="P564" s="190" t="n">
        <x:f>L564*N564</x:f>
        <x:v>2654.640112006596</x:v>
      </x:c>
      <x:c r="Q564" s="190" t="n">
        <x:f>O564+P564</x:f>
        <x:v>12377.044285269902</x:v>
      </x:c>
      <x:c r="R564" s="196" t="n">
        <x:f>J564-K564-L564</x:f>
        <x:v>0</x:v>
      </x:c>
    </x:row>
    <x:row r="565">
      <x:c r="A565" s="20" t="str">
        <x:v>上振れ</x:v>
      </x:c>
      <x:c r="B565" s="20" t="n">
        <x:v>7</x:v>
      </x:c>
      <x:c r="C565" s="20" t="n">
        <x:v>9</x:v>
      </x:c>
      <x:c r="D565" s="189" t="n">
        <x:v>1.1</x:v>
      </x:c>
      <x:c r="E565" s="189" t="n">
        <x:v>0.9</x:v>
      </x:c>
      <x:c r="F565" s="189" t="n">
        <x:f>MAX(MIN('詳細設定'!$D$15+0.05,1),0)</x:f>
        <x:v>0.45</x:v>
      </x:c>
      <x:c r="G565" s="563" t="n">
        <x:f>'_計算月次'!$J$13</x:f>
        <x:v>436.37734765103465</x:v>
      </x:c>
      <x:c r="H565" s="563" t="n">
        <x:f>'_計算月次'!$K$13</x:f>
        <x:v>360</x:v>
      </x:c>
      <x:c r="I565" s="563" t="n">
        <x:f>(1-MAX(MIN('詳細設定'!$D$16,0.999999),0))^(B565-1)</x:f>
        <x:v>1</x:v>
      </x:c>
      <x:c r="J565" s="563" t="n">
        <x:f>MAX(G565*D565*I565,0)</x:f>
        <x:v>480.01508241613817</x:v>
      </x:c>
      <x:c r="K565" s="563" t="n">
        <x:f>MAX(MIN(J565*F565,H565),0)</x:f>
        <x:v>216.00678708726218</x:v>
      </x:c>
      <x:c r="L565" s="563" t="n">
        <x:f>MAX(J565-K565,0)</x:f>
        <x:v>264.008295328876</x:v>
      </x:c>
      <x:c r="M565" s="185" t="n">
        <x:f>MAX('詳細設定'!$D$6,0)*(1+'詳細設定'!$D$21)^(B565-1)</x:f>
        <x:v>37.153205271035006</x:v>
      </x:c>
      <x:c r="N565" s="185" t="n">
        <x:f>IF(B565&lt;=MAX(MIN('詳細設定'!$D$8,20),0),MAX('詳細設定'!$D$7,0),IF(B565&lt;=MAX(MIN('詳細設定'!$D$10,20),0),MAX('詳細設定'!$D$9,0),MAX('詳細設定'!$D$11,0)))</x:f>
        <x:v>8.3</x:v>
      </x:c>
      <x:c r="O565" s="190" t="n">
        <x:f>K565*M565</x:f>
        <x:v>8025.344500589806</x:v>
      </x:c>
      <x:c r="P565" s="190" t="n">
        <x:f>L565*N565</x:f>
        <x:v>2191.268851229671</x:v>
      </x:c>
      <x:c r="Q565" s="190" t="n">
        <x:f>O565+P565</x:f>
        <x:v>10216.613351819477</x:v>
      </x:c>
      <x:c r="R565" s="196" t="n">
        <x:f>J565-K565-L565</x:f>
        <x:v>0</x:v>
      </x:c>
    </x:row>
    <x:row r="566">
      <x:c r="A566" s="20" t="str">
        <x:v>上振れ</x:v>
      </x:c>
      <x:c r="B566" s="20" t="n">
        <x:v>7</x:v>
      </x:c>
      <x:c r="C566" s="20" t="n">
        <x:v>10</x:v>
      </x:c>
      <x:c r="D566" s="189" t="n">
        <x:v>1.1</x:v>
      </x:c>
      <x:c r="E566" s="189" t="n">
        <x:v>0.9</x:v>
      </x:c>
      <x:c r="F566" s="189" t="n">
        <x:f>MAX(MIN('詳細設定'!$D$15+0.05,1),0)</x:f>
        <x:v>0.45</x:v>
      </x:c>
      <x:c r="G566" s="563" t="n">
        <x:f>'_計算月次'!$J$14</x:f>
        <x:v>408.8269849869007</x:v>
      </x:c>
      <x:c r="H566" s="563" t="n">
        <x:f>'_計算月次'!$K$14</x:f>
        <x:v>315.00000000000006</x:v>
      </x:c>
      <x:c r="I566" s="563" t="n">
        <x:f>(1-MAX(MIN('詳細設定'!$D$16,0.999999),0))^(B566-1)</x:f>
        <x:v>1</x:v>
      </x:c>
      <x:c r="J566" s="563" t="n">
        <x:f>MAX(G566*D566*I566,0)</x:f>
        <x:v>449.7096834855908</x:v>
      </x:c>
      <x:c r="K566" s="563" t="n">
        <x:f>MAX(MIN(J566*F566,H566),0)</x:f>
        <x:v>202.36935756851585</x:v>
      </x:c>
      <x:c r="L566" s="563" t="n">
        <x:f>MAX(J566-K566,0)</x:f>
        <x:v>247.34032591707495</x:v>
      </x:c>
      <x:c r="M566" s="185" t="n">
        <x:f>MAX('詳細設定'!$D$6,0)*(1+'詳細設定'!$D$21)^(B566-1)</x:f>
        <x:v>37.153205271035006</x:v>
      </x:c>
      <x:c r="N566" s="185" t="n">
        <x:f>IF(B566&lt;=MAX(MIN('詳細設定'!$D$8,20),0),MAX('詳細設定'!$D$7,0),IF(B566&lt;=MAX(MIN('詳細設定'!$D$10,20),0),MAX('詳細設定'!$D$9,0),MAX('詳細設定'!$D$11,0)))</x:f>
        <x:v>8.3</x:v>
      </x:c>
      <x:c r="O566" s="190" t="n">
        <x:f>K566*M566</x:f>
        <x:v>7518.670282310551</x:v>
      </x:c>
      <x:c r="P566" s="190" t="n">
        <x:f>L566*N566</x:f>
        <x:v>2052.9247051117222</x:v>
      </x:c>
      <x:c r="Q566" s="190" t="n">
        <x:f>O566+P566</x:f>
        <x:v>9571.594987422273</x:v>
      </x:c>
      <x:c r="R566" s="196" t="n">
        <x:f>J566-K566-L566</x:f>
        <x:v>0</x:v>
      </x:c>
    </x:row>
    <x:row r="567">
      <x:c r="A567" s="20" t="str">
        <x:v>上振れ</x:v>
      </x:c>
      <x:c r="B567" s="20" t="n">
        <x:v>7</x:v>
      </x:c>
      <x:c r="C567" s="20" t="n">
        <x:v>11</x:v>
      </x:c>
      <x:c r="D567" s="189" t="n">
        <x:v>1.1</x:v>
      </x:c>
      <x:c r="E567" s="189" t="n">
        <x:v>0.9</x:v>
      </x:c>
      <x:c r="F567" s="189" t="n">
        <x:f>MAX(MIN('詳細設定'!$D$15+0.05,1),0)</x:f>
        <x:v>0.45</x:v>
      </x:c>
      <x:c r="G567" s="563" t="n">
        <x:f>'_計算月次'!$J$15</x:f>
        <x:v>398.45169764745054</x:v>
      </x:c>
      <x:c r="H567" s="563" t="n">
        <x:f>'_計算月次'!$K$15</x:f>
        <x:v>360</x:v>
      </x:c>
      <x:c r="I567" s="563" t="n">
        <x:f>(1-MAX(MIN('詳細設定'!$D$16,0.999999),0))^(B567-1)</x:f>
        <x:v>1</x:v>
      </x:c>
      <x:c r="J567" s="563" t="n">
        <x:f>MAX(G567*D567*I567,0)</x:f>
        <x:v>438.29686741219564</x:v>
      </x:c>
      <x:c r="K567" s="563" t="n">
        <x:f>MAX(MIN(J567*F567,H567),0)</x:f>
        <x:v>197.23359033548803</x:v>
      </x:c>
      <x:c r="L567" s="563" t="n">
        <x:f>MAX(J567-K567,0)</x:f>
        <x:v>241.0632770767076</x:v>
      </x:c>
      <x:c r="M567" s="185" t="n">
        <x:f>MAX('詳細設定'!$D$6,0)*(1+'詳細設定'!$D$21)^(B567-1)</x:f>
        <x:v>37.153205271035006</x:v>
      </x:c>
      <x:c r="N567" s="185" t="n">
        <x:f>IF(B567&lt;=MAX(MIN('詳細設定'!$D$8,20),0),MAX('詳細設定'!$D$7,0),IF(B567&lt;=MAX(MIN('詳細設定'!$D$10,20),0),MAX('詳細設定'!$D$9,0),MAX('詳細設定'!$D$11,0)))</x:f>
        <x:v>8.3</x:v>
      </x:c>
      <x:c r="O567" s="190" t="n">
        <x:f>K567*M567</x:f>
        <x:v>7327.860068077613</x:v>
      </x:c>
      <x:c r="P567" s="190" t="n">
        <x:f>L567*N567</x:f>
        <x:v>2000.8251997366733</x:v>
      </x:c>
      <x:c r="Q567" s="190" t="n">
        <x:f>O567+P567</x:f>
        <x:v>9328.685267814286</x:v>
      </x:c>
      <x:c r="R567" s="196" t="n">
        <x:f>J567-K567-L567</x:f>
        <x:v>0</x:v>
      </x:c>
    </x:row>
    <x:row r="568">
      <x:c r="A568" s="20" t="str">
        <x:v>上振れ</x:v>
      </x:c>
      <x:c r="B568" s="20" t="n">
        <x:v>7</x:v>
      </x:c>
      <x:c r="C568" s="20" t="n">
        <x:v>12</x:v>
      </x:c>
      <x:c r="D568" s="189" t="n">
        <x:v>1.1</x:v>
      </x:c>
      <x:c r="E568" s="189" t="n">
        <x:v>0.9</x:v>
      </x:c>
      <x:c r="F568" s="189" t="n">
        <x:f>MAX(MIN('詳細設定'!$D$15+0.05,1),0)</x:f>
        <x:v>0.45</x:v>
      </x:c>
      <x:c r="G568" s="563" t="n">
        <x:f>'_計算月次'!$J$16</x:f>
        <x:v>443.97248688000184</x:v>
      </x:c>
      <x:c r="H568" s="563" t="n">
        <x:f>'_計算月次'!$K$16</x:f>
        <x:v>405</x:v>
      </x:c>
      <x:c r="I568" s="563" t="n">
        <x:f>(1-MAX(MIN('詳細設定'!$D$16,0.999999),0))^(B568-1)</x:f>
        <x:v>1</x:v>
      </x:c>
      <x:c r="J568" s="563" t="n">
        <x:f>MAX(G568*D568*I568,0)</x:f>
        <x:v>488.36973556800206</x:v>
      </x:c>
      <x:c r="K568" s="563" t="n">
        <x:f>MAX(MIN(J568*F568,H568),0)</x:f>
        <x:v>219.76638100560092</x:v>
      </x:c>
      <x:c r="L568" s="563" t="n">
        <x:f>MAX(J568-K568,0)</x:f>
        <x:v>268.60335456240114</x:v>
      </x:c>
      <x:c r="M568" s="185" t="n">
        <x:f>MAX('詳細設定'!$D$6,0)*(1+'詳細設定'!$D$21)^(B568-1)</x:f>
        <x:v>37.153205271035006</x:v>
      </x:c>
      <x:c r="N568" s="185" t="n">
        <x:f>IF(B568&lt;=MAX(MIN('詳細設定'!$D$8,20),0),MAX('詳細設定'!$D$7,0),IF(B568&lt;=MAX(MIN('詳細設定'!$D$10,20),0),MAX('詳細設定'!$D$9,0),MAX('詳細設定'!$D$11,0)))</x:f>
        <x:v>8.3</x:v>
      </x:c>
      <x:c r="O568" s="190" t="n">
        <x:f>K568*M568</x:f>
        <x:v>8165.0254651735795</x:v>
      </x:c>
      <x:c r="P568" s="190" t="n">
        <x:f>L568*N568</x:f>
        <x:v>2229.4078428679295</x:v>
      </x:c>
      <x:c r="Q568" s="190" t="n">
        <x:f>O568+P568</x:f>
        <x:v>10394.433308041509</x:v>
      </x:c>
      <x:c r="R568" s="196" t="n">
        <x:f>J568-K568-L568</x:f>
        <x:v>0</x:v>
      </x:c>
    </x:row>
    <x:row r="569">
      <x:c r="A569" s="20" t="str">
        <x:v>上振れ</x:v>
      </x:c>
      <x:c r="B569" s="20" t="n">
        <x:v>8</x:v>
      </x:c>
      <x:c r="C569" s="20" t="n">
        <x:v>1</x:v>
      </x:c>
      <x:c r="D569" s="189" t="n">
        <x:v>1.1</x:v>
      </x:c>
      <x:c r="E569" s="189" t="n">
        <x:v>0.9</x:v>
      </x:c>
      <x:c r="F569" s="189" t="n">
        <x:f>MAX(MIN('詳細設定'!$D$15+0.05,1),0)</x:f>
        <x:v>0.45</x:v>
      </x:c>
      <x:c r="G569" s="563" t="n">
        <x:f>'_計算月次'!$J$5</x:f>
        <x:v>502.4147595742038</x:v>
      </x:c>
      <x:c r="H569" s="563" t="n">
        <x:f>'_計算月次'!$K$5</x:f>
        <x:v>450</x:v>
      </x:c>
      <x:c r="I569" s="563" t="n">
        <x:f>(1-MAX(MIN('詳細設定'!$D$16,0.999999),0))^(B569-1)</x:f>
        <x:v>1</x:v>
      </x:c>
      <x:c r="J569" s="563" t="n">
        <x:f>MAX(G569*D569*I569,0)</x:f>
        <x:v>552.6562355316242</x:v>
      </x:c>
      <x:c r="K569" s="563" t="n">
        <x:f>MAX(MIN(J569*F569,H569),0)</x:f>
        <x:v>248.69530598923092</x:v>
      </x:c>
      <x:c r="L569" s="563" t="n">
        <x:f>MAX(J569-K569,0)</x:f>
        <x:v>303.96092954239333</x:v>
      </x:c>
      <x:c r="M569" s="185" t="n">
        <x:f>MAX('詳細設定'!$D$6,0)*(1+'詳細設定'!$D$21)^(B569-1)</x:f>
        <x:v>37.52473732374535</x:v>
      </x:c>
      <x:c r="N569" s="185" t="n">
        <x:f>IF(B569&lt;=MAX(MIN('詳細設定'!$D$8,20),0),MAX('詳細設定'!$D$7,0),IF(B569&lt;=MAX(MIN('詳細設定'!$D$10,20),0),MAX('詳細設定'!$D$9,0),MAX('詳細設定'!$D$11,0)))</x:f>
        <x:v>8.3</x:v>
      </x:c>
      <x:c r="O569" s="190" t="n">
        <x:f>K569*M569</x:f>
        <x:v>9332.226030894364</x:v>
      </x:c>
      <x:c r="P569" s="190" t="n">
        <x:f>L569*N569</x:f>
        <x:v>2522.8757152018648</x:v>
      </x:c>
      <x:c r="Q569" s="190" t="n">
        <x:f>O569+P569</x:f>
        <x:v>11855.101746096228</x:v>
      </x:c>
      <x:c r="R569" s="196" t="n">
        <x:f>J569-K569-L569</x:f>
        <x:v>0</x:v>
      </x:c>
    </x:row>
    <x:row r="570">
      <x:c r="A570" s="20" t="str">
        <x:v>上振れ</x:v>
      </x:c>
      <x:c r="B570" s="20" t="n">
        <x:v>8</x:v>
      </x:c>
      <x:c r="C570" s="20" t="n">
        <x:v>2</x:v>
      </x:c>
      <x:c r="D570" s="189" t="n">
        <x:v>1.1</x:v>
      </x:c>
      <x:c r="E570" s="189" t="n">
        <x:v>0.9</x:v>
      </x:c>
      <x:c r="F570" s="189" t="n">
        <x:f>MAX(MIN('詳細設定'!$D$15+0.05,1),0)</x:f>
        <x:v>0.45</x:v>
      </x:c>
      <x:c r="G570" s="563" t="n">
        <x:f>'_計算月次'!$J$6</x:f>
        <x:v>472.4508339500229</x:v>
      </x:c>
      <x:c r="H570" s="563" t="n">
        <x:f>'_計算月次'!$K$6</x:f>
        <x:v>405</x:v>
      </x:c>
      <x:c r="I570" s="563" t="n">
        <x:f>(1-MAX(MIN('詳細設定'!$D$16,0.999999),0))^(B570-1)</x:f>
        <x:v>1</x:v>
      </x:c>
      <x:c r="J570" s="563" t="n">
        <x:f>MAX(G570*D570*I570,0)</x:f>
        <x:v>519.6959173450252</x:v>
      </x:c>
      <x:c r="K570" s="563" t="n">
        <x:f>MAX(MIN(J570*F570,H570),0)</x:f>
        <x:v>233.86316280526137</x:v>
      </x:c>
      <x:c r="L570" s="563" t="n">
        <x:f>MAX(J570-K570,0)</x:f>
        <x:v>285.83275453976387</x:v>
      </x:c>
      <x:c r="M570" s="185" t="n">
        <x:f>MAX('詳細設定'!$D$6,0)*(1+'詳細設定'!$D$21)^(B570-1)</x:f>
        <x:v>37.52473732374535</x:v>
      </x:c>
      <x:c r="N570" s="185" t="n">
        <x:f>IF(B570&lt;=MAX(MIN('詳細設定'!$D$8,20),0),MAX('詳細設定'!$D$7,0),IF(B570&lt;=MAX(MIN('詳細設定'!$D$10,20),0),MAX('詳細設定'!$D$9,0),MAX('詳細設定'!$D$11,0)))</x:f>
        <x:v>8.3</x:v>
      </x:c>
      <x:c r="O570" s="190" t="n">
        <x:f>K570*M570</x:f>
        <x:v>8775.653753967727</x:v>
      </x:c>
      <x:c r="P570" s="190" t="n">
        <x:f>L570*N570</x:f>
        <x:v>2372.4118626800405</x:v>
      </x:c>
      <x:c r="Q570" s="190" t="n">
        <x:f>O570+P570</x:f>
        <x:v>11148.065616647767</x:v>
      </x:c>
      <x:c r="R570" s="196" t="n">
        <x:f>J570-K570-L570</x:f>
        <x:v>0</x:v>
      </x:c>
    </x:row>
    <x:row r="571">
      <x:c r="A571" s="20" t="str">
        <x:v>上振れ</x:v>
      </x:c>
      <x:c r="B571" s="20" t="n">
        <x:v>8</x:v>
      </x:c>
      <x:c r="C571" s="20" t="n">
        <x:v>3</x:v>
      </x:c>
      <x:c r="D571" s="189" t="n">
        <x:v>1.1</x:v>
      </x:c>
      <x:c r="E571" s="189" t="n">
        <x:v>0.9</x:v>
      </x:c>
      <x:c r="F571" s="189" t="n">
        <x:f>MAX(MIN('詳細設定'!$D$15+0.05,1),0)</x:f>
        <x:v>0.45</x:v>
      </x:c>
      <x:c r="G571" s="563" t="n">
        <x:f>'_計算月次'!$J$7</x:f>
        <x:v>548.3418864753118</x:v>
      </x:c>
      <x:c r="H571" s="563" t="n">
        <x:f>'_計算月次'!$K$7</x:f>
        <x:v>360</x:v>
      </x:c>
      <x:c r="I571" s="563" t="n">
        <x:f>(1-MAX(MIN('詳細設定'!$D$16,0.999999),0))^(B571-1)</x:f>
        <x:v>1</x:v>
      </x:c>
      <x:c r="J571" s="563" t="n">
        <x:f>MAX(G571*D571*I571,0)</x:f>
        <x:v>603.176075122843</x:v>
      </x:c>
      <x:c r="K571" s="563" t="n">
        <x:f>MAX(MIN(J571*F571,H571),0)</x:f>
        <x:v>271.42923380527935</x:v>
      </x:c>
      <x:c r="L571" s="563" t="n">
        <x:f>MAX(J571-K571,0)</x:f>
        <x:v>331.7468413175637</x:v>
      </x:c>
      <x:c r="M571" s="185" t="n">
        <x:f>MAX('詳細設定'!$D$6,0)*(1+'詳細設定'!$D$21)^(B571-1)</x:f>
        <x:v>37.52473732374535</x:v>
      </x:c>
      <x:c r="N571" s="185" t="n">
        <x:f>IF(B571&lt;=MAX(MIN('詳細設定'!$D$8,20),0),MAX('詳細設定'!$D$7,0),IF(B571&lt;=MAX(MIN('詳細設定'!$D$10,20),0),MAX('詳細設定'!$D$9,0),MAX('詳細設定'!$D$11,0)))</x:f>
        <x:v>8.3</x:v>
      </x:c>
      <x:c r="O571" s="190" t="n">
        <x:f>K571*M571</x:f>
        <x:v>10185.31070052857</x:v>
      </x:c>
      <x:c r="P571" s="190" t="n">
        <x:f>L571*N571</x:f>
        <x:v>2753.4987829357788</x:v>
      </x:c>
      <x:c r="Q571" s="190" t="n">
        <x:f>O571+P571</x:f>
        <x:v>12938.809483464349</x:v>
      </x:c>
      <x:c r="R571" s="196" t="n">
        <x:f>J571-K571-L571</x:f>
        <x:v>0</x:v>
      </x:c>
    </x:row>
    <x:row r="572">
      <x:c r="A572" s="20" t="str">
        <x:v>上振れ</x:v>
      </x:c>
      <x:c r="B572" s="20" t="n">
        <x:v>8</x:v>
      </x:c>
      <x:c r="C572" s="20" t="n">
        <x:v>4</x:v>
      </x:c>
      <x:c r="D572" s="189" t="n">
        <x:v>1.1</x:v>
      </x:c>
      <x:c r="E572" s="189" t="n">
        <x:v>0.9</x:v>
      </x:c>
      <x:c r="F572" s="189" t="n">
        <x:f>MAX(MIN('詳細設定'!$D$15+0.05,1),0)</x:f>
        <x:v>0.45</x:v>
      </x:c>
      <x:c r="G572" s="563" t="n">
        <x:f>'_計算月次'!$J$8</x:f>
        <x:v>548.3944393749554</x:v>
      </x:c>
      <x:c r="H572" s="563" t="n">
        <x:f>'_計算月次'!$K$8</x:f>
        <x:v>315.00000000000006</x:v>
      </x:c>
      <x:c r="I572" s="563" t="n">
        <x:f>(1-MAX(MIN('詳細設定'!$D$16,0.999999),0))^(B572-1)</x:f>
        <x:v>1</x:v>
      </x:c>
      <x:c r="J572" s="563" t="n">
        <x:f>MAX(G572*D572*I572,0)</x:f>
        <x:v>603.233883312451</x:v>
      </x:c>
      <x:c r="K572" s="563" t="n">
        <x:f>MAX(MIN(J572*F572,H572),0)</x:f>
        <x:v>271.45524749060297</x:v>
      </x:c>
      <x:c r="L572" s="563" t="n">
        <x:f>MAX(J572-K572,0)</x:f>
        <x:v>331.778635821848</x:v>
      </x:c>
      <x:c r="M572" s="185" t="n">
        <x:f>MAX('詳細設定'!$D$6,0)*(1+'詳細設定'!$D$21)^(B572-1)</x:f>
        <x:v>37.52473732374535</x:v>
      </x:c>
      <x:c r="N572" s="185" t="n">
        <x:f>IF(B572&lt;=MAX(MIN('詳細設定'!$D$8,20),0),MAX('詳細設定'!$D$7,0),IF(B572&lt;=MAX(MIN('詳細設定'!$D$10,20),0),MAX('詳細設定'!$D$9,0),MAX('詳細設定'!$D$11,0)))</x:f>
        <x:v>8.3</x:v>
      </x:c>
      <x:c r="O572" s="190" t="n">
        <x:f>K572*M572</x:f>
        <x:v>10186.28685723716</x:v>
      </x:c>
      <x:c r="P572" s="190" t="n">
        <x:f>L572*N572</x:f>
        <x:v>2753.7626773213387</x:v>
      </x:c>
      <x:c r="Q572" s="190" t="n">
        <x:f>O572+P572</x:f>
        <x:v>12940.0495345585</x:v>
      </x:c>
      <x:c r="R572" s="196" t="n">
        <x:f>J572-K572-L572</x:f>
        <x:v>0</x:v>
      </x:c>
    </x:row>
    <x:row r="573">
      <x:c r="A573" s="20" t="str">
        <x:v>上振れ</x:v>
      </x:c>
      <x:c r="B573" s="20" t="n">
        <x:v>8</x:v>
      </x:c>
      <x:c r="C573" s="20" t="n">
        <x:v>5</x:v>
      </x:c>
      <x:c r="D573" s="189" t="n">
        <x:v>1.1</x:v>
      </x:c>
      <x:c r="E573" s="189" t="n">
        <x:v>0.9</x:v>
      </x:c>
      <x:c r="F573" s="189" t="n">
        <x:f>MAX(MIN('詳細設定'!$D$15+0.05,1),0)</x:f>
        <x:v>0.45</x:v>
      </x:c>
      <x:c r="G573" s="563" t="n">
        <x:f>'_計算月次'!$J$9</x:f>
        <x:v>552.2367574934775</x:v>
      </x:c>
      <x:c r="H573" s="563" t="n">
        <x:f>'_計算月次'!$K$9</x:f>
        <x:v>315.00000000000006</x:v>
      </x:c>
      <x:c r="I573" s="563" t="n">
        <x:f>(1-MAX(MIN('詳細設定'!$D$16,0.999999),0))^(B573-1)</x:f>
        <x:v>1</x:v>
      </x:c>
      <x:c r="J573" s="563" t="n">
        <x:f>MAX(G573*D573*I573,0)</x:f>
        <x:v>607.4604332428253</x:v>
      </x:c>
      <x:c r="K573" s="563" t="n">
        <x:f>MAX(MIN(J573*F573,H573),0)</x:f>
        <x:v>273.3571949592714</x:v>
      </x:c>
      <x:c r="L573" s="563" t="n">
        <x:f>MAX(J573-K573,0)</x:f>
        <x:v>334.1032382835539</x:v>
      </x:c>
      <x:c r="M573" s="185" t="n">
        <x:f>MAX('詳細設定'!$D$6,0)*(1+'詳細設定'!$D$21)^(B573-1)</x:f>
        <x:v>37.52473732374535</x:v>
      </x:c>
      <x:c r="N573" s="185" t="n">
        <x:f>IF(B573&lt;=MAX(MIN('詳細設定'!$D$8,20),0),MAX('詳細設定'!$D$7,0),IF(B573&lt;=MAX(MIN('詳細設定'!$D$10,20),0),MAX('詳細設定'!$D$9,0),MAX('詳細設定'!$D$11,0)))</x:f>
        <x:v>8.3</x:v>
      </x:c>
      <x:c r="O573" s="190" t="n">
        <x:f>K573*M573</x:f>
        <x:v>10257.656936402505</x:v>
      </x:c>
      <x:c r="P573" s="190" t="n">
        <x:f>L573*N573</x:f>
        <x:v>2773.0568777534972</x:v>
      </x:c>
      <x:c r="Q573" s="190" t="n">
        <x:f>O573+P573</x:f>
        <x:v>13030.713814156003</x:v>
      </x:c>
      <x:c r="R573" s="196" t="n">
        <x:f>J573-K573-L573</x:f>
        <x:v>0</x:v>
      </x:c>
    </x:row>
    <x:row r="574">
      <x:c r="A574" s="20" t="str">
        <x:v>上振れ</x:v>
      </x:c>
      <x:c r="B574" s="20" t="n">
        <x:v>8</x:v>
      </x:c>
      <x:c r="C574" s="20" t="n">
        <x:v>6</x:v>
      </x:c>
      <x:c r="D574" s="189" t="n">
        <x:v>1.1</x:v>
      </x:c>
      <x:c r="E574" s="189" t="n">
        <x:v>0.9</x:v>
      </x:c>
      <x:c r="F574" s="189" t="n">
        <x:f>MAX(MIN('詳細設定'!$D$15+0.05,1),0)</x:f>
        <x:v>0.45</x:v>
      </x:c>
      <x:c r="G574" s="563" t="n">
        <x:f>'_計算月次'!$J$10</x:f>
        <x:v>448.7994857612148</x:v>
      </x:c>
      <x:c r="H574" s="563" t="n">
        <x:f>'_計算月次'!$K$10</x:f>
        <x:v>360</x:v>
      </x:c>
      <x:c r="I574" s="563" t="n">
        <x:f>(1-MAX(MIN('詳細設定'!$D$16,0.999999),0))^(B574-1)</x:f>
        <x:v>1</x:v>
      </x:c>
      <x:c r="J574" s="563" t="n">
        <x:f>MAX(G574*D574*I574,0)</x:f>
        <x:v>493.6794343373363</x:v>
      </x:c>
      <x:c r="K574" s="563" t="n">
        <x:f>MAX(MIN(J574*F574,H574),0)</x:f>
        <x:v>222.15574545180135</x:v>
      </x:c>
      <x:c r="L574" s="563" t="n">
        <x:f>MAX(J574-K574,0)</x:f>
        <x:v>271.52368888553497</x:v>
      </x:c>
      <x:c r="M574" s="185" t="n">
        <x:f>MAX('詳細設定'!$D$6,0)*(1+'詳細設定'!$D$21)^(B574-1)</x:f>
        <x:v>37.52473732374535</x:v>
      </x:c>
      <x:c r="N574" s="185" t="n">
        <x:f>IF(B574&lt;=MAX(MIN('詳細設定'!$D$8,20),0),MAX('詳細設定'!$D$7,0),IF(B574&lt;=MAX(MIN('詳細設定'!$D$10,20),0),MAX('詳細設定'!$D$9,0),MAX('詳細設定'!$D$11,0)))</x:f>
        <x:v>8.3</x:v>
      </x:c>
      <x:c r="O574" s="190" t="n">
        <x:f>K574*M574</x:f>
        <x:v>8336.335993039682</x:v>
      </x:c>
      <x:c r="P574" s="190" t="n">
        <x:f>L574*N574</x:f>
        <x:v>2253.6466177499406</x:v>
      </x:c>
      <x:c r="Q574" s="190" t="n">
        <x:f>O574+P574</x:f>
        <x:v>10589.982610789622</x:v>
      </x:c>
      <x:c r="R574" s="196" t="n">
        <x:f>J574-K574-L574</x:f>
        <x:v>0</x:v>
      </x:c>
    </x:row>
    <x:row r="575">
      <x:c r="A575" s="20" t="str">
        <x:v>上振れ</x:v>
      </x:c>
      <x:c r="B575" s="20" t="n">
        <x:v>8</x:v>
      </x:c>
      <x:c r="C575" s="20" t="n">
        <x:v>7</x:v>
      </x:c>
      <x:c r="D575" s="189" t="n">
        <x:v>1.1</x:v>
      </x:c>
      <x:c r="E575" s="189" t="n">
        <x:v>0.9</x:v>
      </x:c>
      <x:c r="F575" s="189" t="n">
        <x:f>MAX(MIN('詳細設定'!$D$15+0.05,1),0)</x:f>
        <x:v>0.45</x:v>
      </x:c>
      <x:c r="G575" s="563" t="n">
        <x:f>'_計算月次'!$J$11</x:f>
        <x:v>476.0181638067866</x:v>
      </x:c>
      <x:c r="H575" s="563" t="n">
        <x:f>'_計算月次'!$K$11</x:f>
        <x:v>405</x:v>
      </x:c>
      <x:c r="I575" s="563" t="n">
        <x:f>(1-MAX(MIN('詳細設定'!$D$16,0.999999),0))^(B575-1)</x:f>
        <x:v>1</x:v>
      </x:c>
      <x:c r="J575" s="563" t="n">
        <x:f>MAX(G575*D575*I575,0)</x:f>
        <x:v>523.6199801874653</x:v>
      </x:c>
      <x:c r="K575" s="563" t="n">
        <x:f>MAX(MIN(J575*F575,H575),0)</x:f>
        <x:v>235.6289910843594</x:v>
      </x:c>
      <x:c r="L575" s="563" t="n">
        <x:f>MAX(J575-K575,0)</x:f>
        <x:v>287.9909891031059</x:v>
      </x:c>
      <x:c r="M575" s="185" t="n">
        <x:f>MAX('詳細設定'!$D$6,0)*(1+'詳細設定'!$D$21)^(B575-1)</x:f>
        <x:v>37.52473732374535</x:v>
      </x:c>
      <x:c r="N575" s="185" t="n">
        <x:f>IF(B575&lt;=MAX(MIN('詳細設定'!$D$8,20),0),MAX('詳細設定'!$D$7,0),IF(B575&lt;=MAX(MIN('詳細設定'!$D$10,20),0),MAX('詳細設定'!$D$9,0),MAX('詳細設定'!$D$11,0)))</x:f>
        <x:v>8.3</x:v>
      </x:c>
      <x:c r="O575" s="190" t="n">
        <x:f>K575*M575</x:f>
        <x:v>8841.915996299722</x:v>
      </x:c>
      <x:c r="P575" s="190" t="n">
        <x:f>L575*N575</x:f>
        <x:v>2390.325209555779</x:v>
      </x:c>
      <x:c r="Q575" s="190" t="n">
        <x:f>O575+P575</x:f>
        <x:v>11232.241205855502</x:v>
      </x:c>
      <x:c r="R575" s="196" t="n">
        <x:f>J575-K575-L575</x:f>
        <x:v>0</x:v>
      </x:c>
    </x:row>
    <x:row r="576">
      <x:c r="A576" s="20" t="str">
        <x:v>上振れ</x:v>
      </x:c>
      <x:c r="B576" s="20" t="n">
        <x:v>8</x:v>
      </x:c>
      <x:c r="C576" s="20" t="n">
        <x:v>8</x:v>
      </x:c>
      <x:c r="D576" s="189" t="n">
        <x:v>1.1</x:v>
      </x:c>
      <x:c r="E576" s="189" t="n">
        <x:v>0.9</x:v>
      </x:c>
      <x:c r="F576" s="189" t="n">
        <x:f>MAX(MIN('詳細設定'!$D$15+0.05,1),0)</x:f>
        <x:v>0.45</x:v>
      </x:c>
      <x:c r="G576" s="563" t="n">
        <x:f>'_計算月次'!$J$12</x:f>
        <x:v>528.6548067323699</x:v>
      </x:c>
      <x:c r="H576" s="563" t="n">
        <x:f>'_計算月次'!$K$12</x:f>
        <x:v>450</x:v>
      </x:c>
      <x:c r="I576" s="563" t="n">
        <x:f>(1-MAX(MIN('詳細設定'!$D$16,0.999999),0))^(B576-1)</x:f>
        <x:v>1</x:v>
      </x:c>
      <x:c r="J576" s="563" t="n">
        <x:f>MAX(G576*D576*I576,0)</x:f>
        <x:v>581.520287405607</x:v>
      </x:c>
      <x:c r="K576" s="563" t="n">
        <x:f>MAX(MIN(J576*F576,H576),0)</x:f>
        <x:v>261.6841293325231</x:v>
      </x:c>
      <x:c r="L576" s="563" t="n">
        <x:f>MAX(J576-K576,0)</x:f>
        <x:v>319.8361580730838</x:v>
      </x:c>
      <x:c r="M576" s="185" t="n">
        <x:f>MAX('詳細設定'!$D$6,0)*(1+'詳細設定'!$D$21)^(B576-1)</x:f>
        <x:v>37.52473732374535</x:v>
      </x:c>
      <x:c r="N576" s="185" t="n">
        <x:f>IF(B576&lt;=MAX(MIN('詳細設定'!$D$8,20),0),MAX('詳細設定'!$D$7,0),IF(B576&lt;=MAX(MIN('詳細設定'!$D$10,20),0),MAX('詳細設定'!$D$9,0),MAX('詳細設定'!$D$11,0)))</x:f>
        <x:v>8.3</x:v>
      </x:c>
      <x:c r="O576" s="190" t="n">
        <x:f>K576*M576</x:f>
        <x:v>9819.628214995935</x:v>
      </x:c>
      <x:c r="P576" s="190" t="n">
        <x:f>L576*N576</x:f>
        <x:v>2654.640112006596</x:v>
      </x:c>
      <x:c r="Q576" s="190" t="n">
        <x:f>O576+P576</x:f>
        <x:v>12474.268327002532</x:v>
      </x:c>
      <x:c r="R576" s="196" t="n">
        <x:f>J576-K576-L576</x:f>
        <x:v>0</x:v>
      </x:c>
    </x:row>
    <x:row r="577">
      <x:c r="A577" s="20" t="str">
        <x:v>上振れ</x:v>
      </x:c>
      <x:c r="B577" s="20" t="n">
        <x:v>8</x:v>
      </x:c>
      <x:c r="C577" s="20" t="n">
        <x:v>9</x:v>
      </x:c>
      <x:c r="D577" s="189" t="n">
        <x:v>1.1</x:v>
      </x:c>
      <x:c r="E577" s="189" t="n">
        <x:v>0.9</x:v>
      </x:c>
      <x:c r="F577" s="189" t="n">
        <x:f>MAX(MIN('詳細設定'!$D$15+0.05,1),0)</x:f>
        <x:v>0.45</x:v>
      </x:c>
      <x:c r="G577" s="563" t="n">
        <x:f>'_計算月次'!$J$13</x:f>
        <x:v>436.37734765103465</x:v>
      </x:c>
      <x:c r="H577" s="563" t="n">
        <x:f>'_計算月次'!$K$13</x:f>
        <x:v>360</x:v>
      </x:c>
      <x:c r="I577" s="563" t="n">
        <x:f>(1-MAX(MIN('詳細設定'!$D$16,0.999999),0))^(B577-1)</x:f>
        <x:v>1</x:v>
      </x:c>
      <x:c r="J577" s="563" t="n">
        <x:f>MAX(G577*D577*I577,0)</x:f>
        <x:v>480.01508241613817</x:v>
      </x:c>
      <x:c r="K577" s="563" t="n">
        <x:f>MAX(MIN(J577*F577,H577),0)</x:f>
        <x:v>216.00678708726218</x:v>
      </x:c>
      <x:c r="L577" s="563" t="n">
        <x:f>MAX(J577-K577,0)</x:f>
        <x:v>264.008295328876</x:v>
      </x:c>
      <x:c r="M577" s="185" t="n">
        <x:f>MAX('詳細設定'!$D$6,0)*(1+'詳細設定'!$D$21)^(B577-1)</x:f>
        <x:v>37.52473732374535</x:v>
      </x:c>
      <x:c r="N577" s="185" t="n">
        <x:f>IF(B577&lt;=MAX(MIN('詳細設定'!$D$8,20),0),MAX('詳細設定'!$D$7,0),IF(B577&lt;=MAX(MIN('詳細設定'!$D$10,20),0),MAX('詳細設定'!$D$9,0),MAX('詳細設定'!$D$11,0)))</x:f>
        <x:v>8.3</x:v>
      </x:c>
      <x:c r="O577" s="190" t="n">
        <x:f>K577*M577</x:f>
        <x:v>8105.597945595702</x:v>
      </x:c>
      <x:c r="P577" s="190" t="n">
        <x:f>L577*N577</x:f>
        <x:v>2191.268851229671</x:v>
      </x:c>
      <x:c r="Q577" s="190" t="n">
        <x:f>O577+P577</x:f>
        <x:v>10296.866796825372</x:v>
      </x:c>
      <x:c r="R577" s="196" t="n">
        <x:f>J577-K577-L577</x:f>
        <x:v>0</x:v>
      </x:c>
    </x:row>
    <x:row r="578">
      <x:c r="A578" s="20" t="str">
        <x:v>上振れ</x:v>
      </x:c>
      <x:c r="B578" s="20" t="n">
        <x:v>8</x:v>
      </x:c>
      <x:c r="C578" s="20" t="n">
        <x:v>10</x:v>
      </x:c>
      <x:c r="D578" s="189" t="n">
        <x:v>1.1</x:v>
      </x:c>
      <x:c r="E578" s="189" t="n">
        <x:v>0.9</x:v>
      </x:c>
      <x:c r="F578" s="189" t="n">
        <x:f>MAX(MIN('詳細設定'!$D$15+0.05,1),0)</x:f>
        <x:v>0.45</x:v>
      </x:c>
      <x:c r="G578" s="563" t="n">
        <x:f>'_計算月次'!$J$14</x:f>
        <x:v>408.8269849869007</x:v>
      </x:c>
      <x:c r="H578" s="563" t="n">
        <x:f>'_計算月次'!$K$14</x:f>
        <x:v>315.00000000000006</x:v>
      </x:c>
      <x:c r="I578" s="563" t="n">
        <x:f>(1-MAX(MIN('詳細設定'!$D$16,0.999999),0))^(B578-1)</x:f>
        <x:v>1</x:v>
      </x:c>
      <x:c r="J578" s="563" t="n">
        <x:f>MAX(G578*D578*I578,0)</x:f>
        <x:v>449.7096834855908</x:v>
      </x:c>
      <x:c r="K578" s="563" t="n">
        <x:f>MAX(MIN(J578*F578,H578),0)</x:f>
        <x:v>202.36935756851585</x:v>
      </x:c>
      <x:c r="L578" s="563" t="n">
        <x:f>MAX(J578-K578,0)</x:f>
        <x:v>247.34032591707495</x:v>
      </x:c>
      <x:c r="M578" s="185" t="n">
        <x:f>MAX('詳細設定'!$D$6,0)*(1+'詳細設定'!$D$21)^(B578-1)</x:f>
        <x:v>37.52473732374535</x:v>
      </x:c>
      <x:c r="N578" s="185" t="n">
        <x:f>IF(B578&lt;=MAX(MIN('詳細設定'!$D$8,20),0),MAX('詳細設定'!$D$7,0),IF(B578&lt;=MAX(MIN('詳細設定'!$D$10,20),0),MAX('詳細設定'!$D$9,0),MAX('詳細設定'!$D$11,0)))</x:f>
        <x:v>8.3</x:v>
      </x:c>
      <x:c r="O578" s="190" t="n">
        <x:f>K578*M578</x:f>
        <x:v>7593.856985133655</x:v>
      </x:c>
      <x:c r="P578" s="190" t="n">
        <x:f>L578*N578</x:f>
        <x:v>2052.9247051117222</x:v>
      </x:c>
      <x:c r="Q578" s="190" t="n">
        <x:f>O578+P578</x:f>
        <x:v>9646.781690245378</x:v>
      </x:c>
      <x:c r="R578" s="196" t="n">
        <x:f>J578-K578-L578</x:f>
        <x:v>0</x:v>
      </x:c>
    </x:row>
    <x:row r="579">
      <x:c r="A579" s="20" t="str">
        <x:v>上振れ</x:v>
      </x:c>
      <x:c r="B579" s="20" t="n">
        <x:v>8</x:v>
      </x:c>
      <x:c r="C579" s="20" t="n">
        <x:v>11</x:v>
      </x:c>
      <x:c r="D579" s="189" t="n">
        <x:v>1.1</x:v>
      </x:c>
      <x:c r="E579" s="189" t="n">
        <x:v>0.9</x:v>
      </x:c>
      <x:c r="F579" s="189" t="n">
        <x:f>MAX(MIN('詳細設定'!$D$15+0.05,1),0)</x:f>
        <x:v>0.45</x:v>
      </x:c>
      <x:c r="G579" s="563" t="n">
        <x:f>'_計算月次'!$J$15</x:f>
        <x:v>398.45169764745054</x:v>
      </x:c>
      <x:c r="H579" s="563" t="n">
        <x:f>'_計算月次'!$K$15</x:f>
        <x:v>360</x:v>
      </x:c>
      <x:c r="I579" s="563" t="n">
        <x:f>(1-MAX(MIN('詳細設定'!$D$16,0.999999),0))^(B579-1)</x:f>
        <x:v>1</x:v>
      </x:c>
      <x:c r="J579" s="563" t="n">
        <x:f>MAX(G579*D579*I579,0)</x:f>
        <x:v>438.29686741219564</x:v>
      </x:c>
      <x:c r="K579" s="563" t="n">
        <x:f>MAX(MIN(J579*F579,H579),0)</x:f>
        <x:v>197.23359033548803</x:v>
      </x:c>
      <x:c r="L579" s="563" t="n">
        <x:f>MAX(J579-K579,0)</x:f>
        <x:v>241.0632770767076</x:v>
      </x:c>
      <x:c r="M579" s="185" t="n">
        <x:f>MAX('詳細設定'!$D$6,0)*(1+'詳細設定'!$D$21)^(B579-1)</x:f>
        <x:v>37.52473732374535</x:v>
      </x:c>
      <x:c r="N579" s="185" t="n">
        <x:f>IF(B579&lt;=MAX(MIN('詳細設定'!$D$8,20),0),MAX('詳細設定'!$D$7,0),IF(B579&lt;=MAX(MIN('詳細設定'!$D$10,20),0),MAX('詳細設定'!$D$9,0),MAX('詳細設定'!$D$11,0)))</x:f>
        <x:v>8.3</x:v>
      </x:c>
      <x:c r="O579" s="190" t="n">
        <x:f>K579*M579</x:f>
        <x:v>7401.138668758387</x:v>
      </x:c>
      <x:c r="P579" s="190" t="n">
        <x:f>L579*N579</x:f>
        <x:v>2000.8251997366733</x:v>
      </x:c>
      <x:c r="Q579" s="190" t="n">
        <x:f>O579+P579</x:f>
        <x:v>9401.96386849506</x:v>
      </x:c>
      <x:c r="R579" s="196" t="n">
        <x:f>J579-K579-L579</x:f>
        <x:v>0</x:v>
      </x:c>
    </x:row>
    <x:row r="580">
      <x:c r="A580" s="20" t="str">
        <x:v>上振れ</x:v>
      </x:c>
      <x:c r="B580" s="20" t="n">
        <x:v>8</x:v>
      </x:c>
      <x:c r="C580" s="20" t="n">
        <x:v>12</x:v>
      </x:c>
      <x:c r="D580" s="189" t="n">
        <x:v>1.1</x:v>
      </x:c>
      <x:c r="E580" s="189" t="n">
        <x:v>0.9</x:v>
      </x:c>
      <x:c r="F580" s="189" t="n">
        <x:f>MAX(MIN('詳細設定'!$D$15+0.05,1),0)</x:f>
        <x:v>0.45</x:v>
      </x:c>
      <x:c r="G580" s="563" t="n">
        <x:f>'_計算月次'!$J$16</x:f>
        <x:v>443.97248688000184</x:v>
      </x:c>
      <x:c r="H580" s="563" t="n">
        <x:f>'_計算月次'!$K$16</x:f>
        <x:v>405</x:v>
      </x:c>
      <x:c r="I580" s="563" t="n">
        <x:f>(1-MAX(MIN('詳細設定'!$D$16,0.999999),0))^(B580-1)</x:f>
        <x:v>1</x:v>
      </x:c>
      <x:c r="J580" s="563" t="n">
        <x:f>MAX(G580*D580*I580,0)</x:f>
        <x:v>488.36973556800206</x:v>
      </x:c>
      <x:c r="K580" s="563" t="n">
        <x:f>MAX(MIN(J580*F580,H580),0)</x:f>
        <x:v>219.76638100560092</x:v>
      </x:c>
      <x:c r="L580" s="563" t="n">
        <x:f>MAX(J580-K580,0)</x:f>
        <x:v>268.60335456240114</x:v>
      </x:c>
      <x:c r="M580" s="185" t="n">
        <x:f>MAX('詳細設定'!$D$6,0)*(1+'詳細設定'!$D$21)^(B580-1)</x:f>
        <x:v>37.52473732374535</x:v>
      </x:c>
      <x:c r="N580" s="185" t="n">
        <x:f>IF(B580&lt;=MAX(MIN('詳細設定'!$D$8,20),0),MAX('詳細設定'!$D$7,0),IF(B580&lt;=MAX(MIN('詳細設定'!$D$10,20),0),MAX('詳細設定'!$D$9,0),MAX('詳細設定'!$D$11,0)))</x:f>
        <x:v>8.3</x:v>
      </x:c>
      <x:c r="O580" s="190" t="n">
        <x:f>K580*M580</x:f>
        <x:v>8246.675719825314</x:v>
      </x:c>
      <x:c r="P580" s="190" t="n">
        <x:f>L580*N580</x:f>
        <x:v>2229.4078428679295</x:v>
      </x:c>
      <x:c r="Q580" s="190" t="n">
        <x:f>O580+P580</x:f>
        <x:v>10476.083562693244</x:v>
      </x:c>
      <x:c r="R580" s="196" t="n">
        <x:f>J580-K580-L580</x:f>
        <x:v>0</x:v>
      </x:c>
    </x:row>
    <x:row r="581">
      <x:c r="A581" s="20" t="str">
        <x:v>上振れ</x:v>
      </x:c>
      <x:c r="B581" s="20" t="n">
        <x:v>9</x:v>
      </x:c>
      <x:c r="C581" s="20" t="n">
        <x:v>1</x:v>
      </x:c>
      <x:c r="D581" s="189" t="n">
        <x:v>1.1</x:v>
      </x:c>
      <x:c r="E581" s="189" t="n">
        <x:v>0.9</x:v>
      </x:c>
      <x:c r="F581" s="189" t="n">
        <x:f>MAX(MIN('詳細設定'!$D$15+0.05,1),0)</x:f>
        <x:v>0.45</x:v>
      </x:c>
      <x:c r="G581" s="563" t="n">
        <x:f>'_計算月次'!$J$5</x:f>
        <x:v>502.4147595742038</x:v>
      </x:c>
      <x:c r="H581" s="563" t="n">
        <x:f>'_計算月次'!$K$5</x:f>
        <x:v>450</x:v>
      </x:c>
      <x:c r="I581" s="563" t="n">
        <x:f>(1-MAX(MIN('詳細設定'!$D$16,0.999999),0))^(B581-1)</x:f>
        <x:v>1</x:v>
      </x:c>
      <x:c r="J581" s="563" t="n">
        <x:f>MAX(G581*D581*I581,0)</x:f>
        <x:v>552.6562355316242</x:v>
      </x:c>
      <x:c r="K581" s="563" t="n">
        <x:f>MAX(MIN(J581*F581,H581),0)</x:f>
        <x:v>248.69530598923092</x:v>
      </x:c>
      <x:c r="L581" s="563" t="n">
        <x:f>MAX(J581-K581,0)</x:f>
        <x:v>303.96092954239333</x:v>
      </x:c>
      <x:c r="M581" s="185" t="n">
        <x:f>MAX('詳細設定'!$D$6,0)*(1+'詳細設定'!$D$21)^(B581-1)</x:f>
        <x:v>37.899984696982806</x:v>
      </x:c>
      <x:c r="N581" s="185" t="n">
        <x:f>IF(B581&lt;=MAX(MIN('詳細設定'!$D$8,20),0),MAX('詳細設定'!$D$7,0),IF(B581&lt;=MAX(MIN('詳細設定'!$D$10,20),0),MAX('詳細設定'!$D$9,0),MAX('詳細設定'!$D$11,0)))</x:f>
        <x:v>8.3</x:v>
      </x:c>
      <x:c r="O581" s="190" t="n">
        <x:f>K581*M581</x:f>
        <x:v>9425.548291203308</x:v>
      </x:c>
      <x:c r="P581" s="190" t="n">
        <x:f>L581*N581</x:f>
        <x:v>2522.8757152018648</x:v>
      </x:c>
      <x:c r="Q581" s="190" t="n">
        <x:f>O581+P581</x:f>
        <x:v>11948.424006405172</x:v>
      </x:c>
      <x:c r="R581" s="196" t="n">
        <x:f>J581-K581-L581</x:f>
        <x:v>0</x:v>
      </x:c>
    </x:row>
    <x:row r="582">
      <x:c r="A582" s="20" t="str">
        <x:v>上振れ</x:v>
      </x:c>
      <x:c r="B582" s="20" t="n">
        <x:v>9</x:v>
      </x:c>
      <x:c r="C582" s="20" t="n">
        <x:v>2</x:v>
      </x:c>
      <x:c r="D582" s="189" t="n">
        <x:v>1.1</x:v>
      </x:c>
      <x:c r="E582" s="189" t="n">
        <x:v>0.9</x:v>
      </x:c>
      <x:c r="F582" s="189" t="n">
        <x:f>MAX(MIN('詳細設定'!$D$15+0.05,1),0)</x:f>
        <x:v>0.45</x:v>
      </x:c>
      <x:c r="G582" s="563" t="n">
        <x:f>'_計算月次'!$J$6</x:f>
        <x:v>472.4508339500229</x:v>
      </x:c>
      <x:c r="H582" s="563" t="n">
        <x:f>'_計算月次'!$K$6</x:f>
        <x:v>405</x:v>
      </x:c>
      <x:c r="I582" s="563" t="n">
        <x:f>(1-MAX(MIN('詳細設定'!$D$16,0.999999),0))^(B582-1)</x:f>
        <x:v>1</x:v>
      </x:c>
      <x:c r="J582" s="563" t="n">
        <x:f>MAX(G582*D582*I582,0)</x:f>
        <x:v>519.6959173450252</x:v>
      </x:c>
      <x:c r="K582" s="563" t="n">
        <x:f>MAX(MIN(J582*F582,H582),0)</x:f>
        <x:v>233.86316280526137</x:v>
      </x:c>
      <x:c r="L582" s="563" t="n">
        <x:f>MAX(J582-K582,0)</x:f>
        <x:v>285.83275453976387</x:v>
      </x:c>
      <x:c r="M582" s="185" t="n">
        <x:f>MAX('詳細設定'!$D$6,0)*(1+'詳細設定'!$D$21)^(B582-1)</x:f>
        <x:v>37.899984696982806</x:v>
      </x:c>
      <x:c r="N582" s="185" t="n">
        <x:f>IF(B582&lt;=MAX(MIN('詳細設定'!$D$8,20),0),MAX('詳細設定'!$D$7,0),IF(B582&lt;=MAX(MIN('詳細設定'!$D$10,20),0),MAX('詳細設定'!$D$9,0),MAX('詳細設定'!$D$11,0)))</x:f>
        <x:v>8.3</x:v>
      </x:c>
      <x:c r="O582" s="190" t="n">
        <x:f>K582*M582</x:f>
        <x:v>8863.410291507404</x:v>
      </x:c>
      <x:c r="P582" s="190" t="n">
        <x:f>L582*N582</x:f>
        <x:v>2372.4118626800405</x:v>
      </x:c>
      <x:c r="Q582" s="190" t="n">
        <x:f>O582+P582</x:f>
        <x:v>11235.822154187445</x:v>
      </x:c>
      <x:c r="R582" s="196" t="n">
        <x:f>J582-K582-L582</x:f>
        <x:v>0</x:v>
      </x:c>
    </x:row>
    <x:row r="583">
      <x:c r="A583" s="20" t="str">
        <x:v>上振れ</x:v>
      </x:c>
      <x:c r="B583" s="20" t="n">
        <x:v>9</x:v>
      </x:c>
      <x:c r="C583" s="20" t="n">
        <x:v>3</x:v>
      </x:c>
      <x:c r="D583" s="189" t="n">
        <x:v>1.1</x:v>
      </x:c>
      <x:c r="E583" s="189" t="n">
        <x:v>0.9</x:v>
      </x:c>
      <x:c r="F583" s="189" t="n">
        <x:f>MAX(MIN('詳細設定'!$D$15+0.05,1),0)</x:f>
        <x:v>0.45</x:v>
      </x:c>
      <x:c r="G583" s="563" t="n">
        <x:f>'_計算月次'!$J$7</x:f>
        <x:v>548.3418864753118</x:v>
      </x:c>
      <x:c r="H583" s="563" t="n">
        <x:f>'_計算月次'!$K$7</x:f>
        <x:v>360</x:v>
      </x:c>
      <x:c r="I583" s="563" t="n">
        <x:f>(1-MAX(MIN('詳細設定'!$D$16,0.999999),0))^(B583-1)</x:f>
        <x:v>1</x:v>
      </x:c>
      <x:c r="J583" s="563" t="n">
        <x:f>MAX(G583*D583*I583,0)</x:f>
        <x:v>603.176075122843</x:v>
      </x:c>
      <x:c r="K583" s="563" t="n">
        <x:f>MAX(MIN(J583*F583,H583),0)</x:f>
        <x:v>271.42923380527935</x:v>
      </x:c>
      <x:c r="L583" s="563" t="n">
        <x:f>MAX(J583-K583,0)</x:f>
        <x:v>331.7468413175637</x:v>
      </x:c>
      <x:c r="M583" s="185" t="n">
        <x:f>MAX('詳細設定'!$D$6,0)*(1+'詳細設定'!$D$21)^(B583-1)</x:f>
        <x:v>37.899984696982806</x:v>
      </x:c>
      <x:c r="N583" s="185" t="n">
        <x:f>IF(B583&lt;=MAX(MIN('詳細設定'!$D$8,20),0),MAX('詳細設定'!$D$7,0),IF(B583&lt;=MAX(MIN('詳細設定'!$D$10,20),0),MAX('詳細設定'!$D$9,0),MAX('詳細設定'!$D$11,0)))</x:f>
        <x:v>8.3</x:v>
      </x:c>
      <x:c r="O583" s="190" t="n">
        <x:f>K583*M583</x:f>
        <x:v>10287.163807533856</x:v>
      </x:c>
      <x:c r="P583" s="190" t="n">
        <x:f>L583*N583</x:f>
        <x:v>2753.4987829357788</x:v>
      </x:c>
      <x:c r="Q583" s="190" t="n">
        <x:f>O583+P583</x:f>
        <x:v>13040.662590469634</x:v>
      </x:c>
      <x:c r="R583" s="196" t="n">
        <x:f>J583-K583-L583</x:f>
        <x:v>0</x:v>
      </x:c>
    </x:row>
    <x:row r="584">
      <x:c r="A584" s="20" t="str">
        <x:v>上振れ</x:v>
      </x:c>
      <x:c r="B584" s="20" t="n">
        <x:v>9</x:v>
      </x:c>
      <x:c r="C584" s="20" t="n">
        <x:v>4</x:v>
      </x:c>
      <x:c r="D584" s="189" t="n">
        <x:v>1.1</x:v>
      </x:c>
      <x:c r="E584" s="189" t="n">
        <x:v>0.9</x:v>
      </x:c>
      <x:c r="F584" s="189" t="n">
        <x:f>MAX(MIN('詳細設定'!$D$15+0.05,1),0)</x:f>
        <x:v>0.45</x:v>
      </x:c>
      <x:c r="G584" s="563" t="n">
        <x:f>'_計算月次'!$J$8</x:f>
        <x:v>548.3944393749554</x:v>
      </x:c>
      <x:c r="H584" s="563" t="n">
        <x:f>'_計算月次'!$K$8</x:f>
        <x:v>315.00000000000006</x:v>
      </x:c>
      <x:c r="I584" s="563" t="n">
        <x:f>(1-MAX(MIN('詳細設定'!$D$16,0.999999),0))^(B584-1)</x:f>
        <x:v>1</x:v>
      </x:c>
      <x:c r="J584" s="563" t="n">
        <x:f>MAX(G584*D584*I584,0)</x:f>
        <x:v>603.233883312451</x:v>
      </x:c>
      <x:c r="K584" s="563" t="n">
        <x:f>MAX(MIN(J584*F584,H584),0)</x:f>
        <x:v>271.45524749060297</x:v>
      </x:c>
      <x:c r="L584" s="563" t="n">
        <x:f>MAX(J584-K584,0)</x:f>
        <x:v>331.778635821848</x:v>
      </x:c>
      <x:c r="M584" s="185" t="n">
        <x:f>MAX('詳細設定'!$D$6,0)*(1+'詳細設定'!$D$21)^(B584-1)</x:f>
        <x:v>37.899984696982806</x:v>
      </x:c>
      <x:c r="N584" s="185" t="n">
        <x:f>IF(B584&lt;=MAX(MIN('詳細設定'!$D$8,20),0),MAX('詳細設定'!$D$7,0),IF(B584&lt;=MAX(MIN('詳細設定'!$D$10,20),0),MAX('詳細設定'!$D$9,0),MAX('詳細設定'!$D$11,0)))</x:f>
        <x:v>8.3</x:v>
      </x:c>
      <x:c r="O584" s="190" t="n">
        <x:f>K584*M584</x:f>
        <x:v>10288.149725809533</x:v>
      </x:c>
      <x:c r="P584" s="190" t="n">
        <x:f>L584*N584</x:f>
        <x:v>2753.7626773213387</x:v>
      </x:c>
      <x:c r="Q584" s="190" t="n">
        <x:f>O584+P584</x:f>
        <x:v>13041.912403130871</x:v>
      </x:c>
      <x:c r="R584" s="196" t="n">
        <x:f>J584-K584-L584</x:f>
        <x:v>0</x:v>
      </x:c>
    </x:row>
    <x:row r="585">
      <x:c r="A585" s="20" t="str">
        <x:v>上振れ</x:v>
      </x:c>
      <x:c r="B585" s="20" t="n">
        <x:v>9</x:v>
      </x:c>
      <x:c r="C585" s="20" t="n">
        <x:v>5</x:v>
      </x:c>
      <x:c r="D585" s="189" t="n">
        <x:v>1.1</x:v>
      </x:c>
      <x:c r="E585" s="189" t="n">
        <x:v>0.9</x:v>
      </x:c>
      <x:c r="F585" s="189" t="n">
        <x:f>MAX(MIN('詳細設定'!$D$15+0.05,1),0)</x:f>
        <x:v>0.45</x:v>
      </x:c>
      <x:c r="G585" s="563" t="n">
        <x:f>'_計算月次'!$J$9</x:f>
        <x:v>552.2367574934775</x:v>
      </x:c>
      <x:c r="H585" s="563" t="n">
        <x:f>'_計算月次'!$K$9</x:f>
        <x:v>315.00000000000006</x:v>
      </x:c>
      <x:c r="I585" s="563" t="n">
        <x:f>(1-MAX(MIN('詳細設定'!$D$16,0.999999),0))^(B585-1)</x:f>
        <x:v>1</x:v>
      </x:c>
      <x:c r="J585" s="563" t="n">
        <x:f>MAX(G585*D585*I585,0)</x:f>
        <x:v>607.4604332428253</x:v>
      </x:c>
      <x:c r="K585" s="563" t="n">
        <x:f>MAX(MIN(J585*F585,H585),0)</x:f>
        <x:v>273.3571949592714</x:v>
      </x:c>
      <x:c r="L585" s="563" t="n">
        <x:f>MAX(J585-K585,0)</x:f>
        <x:v>334.1032382835539</x:v>
      </x:c>
      <x:c r="M585" s="185" t="n">
        <x:f>MAX('詳細設定'!$D$6,0)*(1+'詳細設定'!$D$21)^(B585-1)</x:f>
        <x:v>37.899984696982806</x:v>
      </x:c>
      <x:c r="N585" s="185" t="n">
        <x:f>IF(B585&lt;=MAX(MIN('詳細設定'!$D$8,20),0),MAX('詳細設定'!$D$7,0),IF(B585&lt;=MAX(MIN('詳細設定'!$D$10,20),0),MAX('詳細設定'!$D$9,0),MAX('詳細設定'!$D$11,0)))</x:f>
        <x:v>8.3</x:v>
      </x:c>
      <x:c r="O585" s="190" t="n">
        <x:f>K585*M585</x:f>
        <x:v>10360.233505766531</x:v>
      </x:c>
      <x:c r="P585" s="190" t="n">
        <x:f>L585*N585</x:f>
        <x:v>2773.0568777534972</x:v>
      </x:c>
      <x:c r="Q585" s="190" t="n">
        <x:f>O585+P585</x:f>
        <x:v>13133.290383520029</x:v>
      </x:c>
      <x:c r="R585" s="196" t="n">
        <x:f>J585-K585-L585</x:f>
        <x:v>0</x:v>
      </x:c>
    </x:row>
    <x:row r="586">
      <x:c r="A586" s="20" t="str">
        <x:v>上振れ</x:v>
      </x:c>
      <x:c r="B586" s="20" t="n">
        <x:v>9</x:v>
      </x:c>
      <x:c r="C586" s="20" t="n">
        <x:v>6</x:v>
      </x:c>
      <x:c r="D586" s="189" t="n">
        <x:v>1.1</x:v>
      </x:c>
      <x:c r="E586" s="189" t="n">
        <x:v>0.9</x:v>
      </x:c>
      <x:c r="F586" s="189" t="n">
        <x:f>MAX(MIN('詳細設定'!$D$15+0.05,1),0)</x:f>
        <x:v>0.45</x:v>
      </x:c>
      <x:c r="G586" s="563" t="n">
        <x:f>'_計算月次'!$J$10</x:f>
        <x:v>448.7994857612148</x:v>
      </x:c>
      <x:c r="H586" s="563" t="n">
        <x:f>'_計算月次'!$K$10</x:f>
        <x:v>360</x:v>
      </x:c>
      <x:c r="I586" s="563" t="n">
        <x:f>(1-MAX(MIN('詳細設定'!$D$16,0.999999),0))^(B586-1)</x:f>
        <x:v>1</x:v>
      </x:c>
      <x:c r="J586" s="563" t="n">
        <x:f>MAX(G586*D586*I586,0)</x:f>
        <x:v>493.6794343373363</x:v>
      </x:c>
      <x:c r="K586" s="563" t="n">
        <x:f>MAX(MIN(J586*F586,H586),0)</x:f>
        <x:v>222.15574545180135</x:v>
      </x:c>
      <x:c r="L586" s="563" t="n">
        <x:f>MAX(J586-K586,0)</x:f>
        <x:v>271.52368888553497</x:v>
      </x:c>
      <x:c r="M586" s="185" t="n">
        <x:f>MAX('詳細設定'!$D$6,0)*(1+'詳細設定'!$D$21)^(B586-1)</x:f>
        <x:v>37.899984696982806</x:v>
      </x:c>
      <x:c r="N586" s="185" t="n">
        <x:f>IF(B586&lt;=MAX(MIN('詳細設定'!$D$8,20),0),MAX('詳細設定'!$D$7,0),IF(B586&lt;=MAX(MIN('詳細設定'!$D$10,20),0),MAX('詳細設定'!$D$9,0),MAX('詳細設定'!$D$11,0)))</x:f>
        <x:v>8.3</x:v>
      </x:c>
      <x:c r="O586" s="190" t="n">
        <x:f>K586*M586</x:f>
        <x:v>8419.69935297008</x:v>
      </x:c>
      <x:c r="P586" s="190" t="n">
        <x:f>L586*N586</x:f>
        <x:v>2253.6466177499406</x:v>
      </x:c>
      <x:c r="Q586" s="190" t="n">
        <x:f>O586+P586</x:f>
        <x:v>10673.34597072002</x:v>
      </x:c>
      <x:c r="R586" s="196" t="n">
        <x:f>J586-K586-L586</x:f>
        <x:v>0</x:v>
      </x:c>
    </x:row>
    <x:row r="587">
      <x:c r="A587" s="20" t="str">
        <x:v>上振れ</x:v>
      </x:c>
      <x:c r="B587" s="20" t="n">
        <x:v>9</x:v>
      </x:c>
      <x:c r="C587" s="20" t="n">
        <x:v>7</x:v>
      </x:c>
      <x:c r="D587" s="189" t="n">
        <x:v>1.1</x:v>
      </x:c>
      <x:c r="E587" s="189" t="n">
        <x:v>0.9</x:v>
      </x:c>
      <x:c r="F587" s="189" t="n">
        <x:f>MAX(MIN('詳細設定'!$D$15+0.05,1),0)</x:f>
        <x:v>0.45</x:v>
      </x:c>
      <x:c r="G587" s="563" t="n">
        <x:f>'_計算月次'!$J$11</x:f>
        <x:v>476.0181638067866</x:v>
      </x:c>
      <x:c r="H587" s="563" t="n">
        <x:f>'_計算月次'!$K$11</x:f>
        <x:v>405</x:v>
      </x:c>
      <x:c r="I587" s="563" t="n">
        <x:f>(1-MAX(MIN('詳細設定'!$D$16,0.999999),0))^(B587-1)</x:f>
        <x:v>1</x:v>
      </x:c>
      <x:c r="J587" s="563" t="n">
        <x:f>MAX(G587*D587*I587,0)</x:f>
        <x:v>523.6199801874653</x:v>
      </x:c>
      <x:c r="K587" s="563" t="n">
        <x:f>MAX(MIN(J587*F587,H587),0)</x:f>
        <x:v>235.6289910843594</x:v>
      </x:c>
      <x:c r="L587" s="563" t="n">
        <x:f>MAX(J587-K587,0)</x:f>
        <x:v>287.9909891031059</x:v>
      </x:c>
      <x:c r="M587" s="185" t="n">
        <x:f>MAX('詳細設定'!$D$6,0)*(1+'詳細設定'!$D$21)^(B587-1)</x:f>
        <x:v>37.899984696982806</x:v>
      </x:c>
      <x:c r="N587" s="185" t="n">
        <x:f>IF(B587&lt;=MAX(MIN('詳細設定'!$D$8,20),0),MAX('詳細設定'!$D$7,0),IF(B587&lt;=MAX(MIN('詳細設定'!$D$10,20),0),MAX('詳細設定'!$D$9,0),MAX('詳細設定'!$D$11,0)))</x:f>
        <x:v>8.3</x:v>
      </x:c>
      <x:c r="O587" s="190" t="n">
        <x:f>K587*M587</x:f>
        <x:v>8930.33515626272</x:v>
      </x:c>
      <x:c r="P587" s="190" t="n">
        <x:f>L587*N587</x:f>
        <x:v>2390.325209555779</x:v>
      </x:c>
      <x:c r="Q587" s="190" t="n">
        <x:f>O587+P587</x:f>
        <x:v>11320.660365818498</x:v>
      </x:c>
      <x:c r="R587" s="196" t="n">
        <x:f>J587-K587-L587</x:f>
        <x:v>0</x:v>
      </x:c>
    </x:row>
    <x:row r="588">
      <x:c r="A588" s="20" t="str">
        <x:v>上振れ</x:v>
      </x:c>
      <x:c r="B588" s="20" t="n">
        <x:v>9</x:v>
      </x:c>
      <x:c r="C588" s="20" t="n">
        <x:v>8</x:v>
      </x:c>
      <x:c r="D588" s="189" t="n">
        <x:v>1.1</x:v>
      </x:c>
      <x:c r="E588" s="189" t="n">
        <x:v>0.9</x:v>
      </x:c>
      <x:c r="F588" s="189" t="n">
        <x:f>MAX(MIN('詳細設定'!$D$15+0.05,1),0)</x:f>
        <x:v>0.45</x:v>
      </x:c>
      <x:c r="G588" s="563" t="n">
        <x:f>'_計算月次'!$J$12</x:f>
        <x:v>528.6548067323699</x:v>
      </x:c>
      <x:c r="H588" s="563" t="n">
        <x:f>'_計算月次'!$K$12</x:f>
        <x:v>450</x:v>
      </x:c>
      <x:c r="I588" s="563" t="n">
        <x:f>(1-MAX(MIN('詳細設定'!$D$16,0.999999),0))^(B588-1)</x:f>
        <x:v>1</x:v>
      </x:c>
      <x:c r="J588" s="563" t="n">
        <x:f>MAX(G588*D588*I588,0)</x:f>
        <x:v>581.520287405607</x:v>
      </x:c>
      <x:c r="K588" s="563" t="n">
        <x:f>MAX(MIN(J588*F588,H588),0)</x:f>
        <x:v>261.6841293325231</x:v>
      </x:c>
      <x:c r="L588" s="563" t="n">
        <x:f>MAX(J588-K588,0)</x:f>
        <x:v>319.8361580730838</x:v>
      </x:c>
      <x:c r="M588" s="185" t="n">
        <x:f>MAX('詳細設定'!$D$6,0)*(1+'詳細設定'!$D$21)^(B588-1)</x:f>
        <x:v>37.899984696982806</x:v>
      </x:c>
      <x:c r="N588" s="185" t="n">
        <x:f>IF(B588&lt;=MAX(MIN('詳細設定'!$D$8,20),0),MAX('詳細設定'!$D$7,0),IF(B588&lt;=MAX(MIN('詳細設定'!$D$10,20),0),MAX('詳細設定'!$D$9,0),MAX('詳細設定'!$D$11,0)))</x:f>
        <x:v>8.3</x:v>
      </x:c>
      <x:c r="O588" s="190" t="n">
        <x:f>K588*M588</x:f>
        <x:v>9917.824497145895</x:v>
      </x:c>
      <x:c r="P588" s="190" t="n">
        <x:f>L588*N588</x:f>
        <x:v>2654.640112006596</x:v>
      </x:c>
      <x:c r="Q588" s="190" t="n">
        <x:f>O588+P588</x:f>
        <x:v>12572.464609152492</x:v>
      </x:c>
      <x:c r="R588" s="196" t="n">
        <x:f>J588-K588-L588</x:f>
        <x:v>0</x:v>
      </x:c>
    </x:row>
    <x:row r="589">
      <x:c r="A589" s="20" t="str">
        <x:v>上振れ</x:v>
      </x:c>
      <x:c r="B589" s="20" t="n">
        <x:v>9</x:v>
      </x:c>
      <x:c r="C589" s="20" t="n">
        <x:v>9</x:v>
      </x:c>
      <x:c r="D589" s="189" t="n">
        <x:v>1.1</x:v>
      </x:c>
      <x:c r="E589" s="189" t="n">
        <x:v>0.9</x:v>
      </x:c>
      <x:c r="F589" s="189" t="n">
        <x:f>MAX(MIN('詳細設定'!$D$15+0.05,1),0)</x:f>
        <x:v>0.45</x:v>
      </x:c>
      <x:c r="G589" s="563" t="n">
        <x:f>'_計算月次'!$J$13</x:f>
        <x:v>436.37734765103465</x:v>
      </x:c>
      <x:c r="H589" s="563" t="n">
        <x:f>'_計算月次'!$K$13</x:f>
        <x:v>360</x:v>
      </x:c>
      <x:c r="I589" s="563" t="n">
        <x:f>(1-MAX(MIN('詳細設定'!$D$16,0.999999),0))^(B589-1)</x:f>
        <x:v>1</x:v>
      </x:c>
      <x:c r="J589" s="563" t="n">
        <x:f>MAX(G589*D589*I589,0)</x:f>
        <x:v>480.01508241613817</x:v>
      </x:c>
      <x:c r="K589" s="563" t="n">
        <x:f>MAX(MIN(J589*F589,H589),0)</x:f>
        <x:v>216.00678708726218</x:v>
      </x:c>
      <x:c r="L589" s="563" t="n">
        <x:f>MAX(J589-K589,0)</x:f>
        <x:v>264.008295328876</x:v>
      </x:c>
      <x:c r="M589" s="185" t="n">
        <x:f>MAX('詳細設定'!$D$6,0)*(1+'詳細設定'!$D$21)^(B589-1)</x:f>
        <x:v>37.899984696982806</x:v>
      </x:c>
      <x:c r="N589" s="185" t="n">
        <x:f>IF(B589&lt;=MAX(MIN('詳細設定'!$D$8,20),0),MAX('詳細設定'!$D$7,0),IF(B589&lt;=MAX(MIN('詳細設定'!$D$10,20),0),MAX('詳細設定'!$D$9,0),MAX('詳細設定'!$D$11,0)))</x:f>
        <x:v>8.3</x:v>
      </x:c>
      <x:c r="O589" s="190" t="n">
        <x:f>K589*M589</x:f>
        <x:v>8186.65392505166</x:v>
      </x:c>
      <x:c r="P589" s="190" t="n">
        <x:f>L589*N589</x:f>
        <x:v>2191.268851229671</x:v>
      </x:c>
      <x:c r="Q589" s="190" t="n">
        <x:f>O589+P589</x:f>
        <x:v>10377.922776281332</x:v>
      </x:c>
      <x:c r="R589" s="196" t="n">
        <x:f>J589-K589-L589</x:f>
        <x:v>0</x:v>
      </x:c>
    </x:row>
    <x:row r="590">
      <x:c r="A590" s="20" t="str">
        <x:v>上振れ</x:v>
      </x:c>
      <x:c r="B590" s="20" t="n">
        <x:v>9</x:v>
      </x:c>
      <x:c r="C590" s="20" t="n">
        <x:v>10</x:v>
      </x:c>
      <x:c r="D590" s="189" t="n">
        <x:v>1.1</x:v>
      </x:c>
      <x:c r="E590" s="189" t="n">
        <x:v>0.9</x:v>
      </x:c>
      <x:c r="F590" s="189" t="n">
        <x:f>MAX(MIN('詳細設定'!$D$15+0.05,1),0)</x:f>
        <x:v>0.45</x:v>
      </x:c>
      <x:c r="G590" s="563" t="n">
        <x:f>'_計算月次'!$J$14</x:f>
        <x:v>408.8269849869007</x:v>
      </x:c>
      <x:c r="H590" s="563" t="n">
        <x:f>'_計算月次'!$K$14</x:f>
        <x:v>315.00000000000006</x:v>
      </x:c>
      <x:c r="I590" s="563" t="n">
        <x:f>(1-MAX(MIN('詳細設定'!$D$16,0.999999),0))^(B590-1)</x:f>
        <x:v>1</x:v>
      </x:c>
      <x:c r="J590" s="563" t="n">
        <x:f>MAX(G590*D590*I590,0)</x:f>
        <x:v>449.7096834855908</x:v>
      </x:c>
      <x:c r="K590" s="563" t="n">
        <x:f>MAX(MIN(J590*F590,H590),0)</x:f>
        <x:v>202.36935756851585</x:v>
      </x:c>
      <x:c r="L590" s="563" t="n">
        <x:f>MAX(J590-K590,0)</x:f>
        <x:v>247.34032591707495</x:v>
      </x:c>
      <x:c r="M590" s="185" t="n">
        <x:f>MAX('詳細設定'!$D$6,0)*(1+'詳細設定'!$D$21)^(B590-1)</x:f>
        <x:v>37.899984696982806</x:v>
      </x:c>
      <x:c r="N590" s="185" t="n">
        <x:f>IF(B590&lt;=MAX(MIN('詳細設定'!$D$8,20),0),MAX('詳細設定'!$D$7,0),IF(B590&lt;=MAX(MIN('詳細設定'!$D$10,20),0),MAX('詳細設定'!$D$9,0),MAX('詳細設定'!$D$11,0)))</x:f>
        <x:v>8.3</x:v>
      </x:c>
      <x:c r="O590" s="190" t="n">
        <x:f>K590*M590</x:f>
        <x:v>7669.795554984992</x:v>
      </x:c>
      <x:c r="P590" s="190" t="n">
        <x:f>L590*N590</x:f>
        <x:v>2052.9247051117222</x:v>
      </x:c>
      <x:c r="Q590" s="190" t="n">
        <x:f>O590+P590</x:f>
        <x:v>9722.720260096714</x:v>
      </x:c>
      <x:c r="R590" s="196" t="n">
        <x:f>J590-K590-L590</x:f>
        <x:v>0</x:v>
      </x:c>
    </x:row>
    <x:row r="591">
      <x:c r="A591" s="20" t="str">
        <x:v>上振れ</x:v>
      </x:c>
      <x:c r="B591" s="20" t="n">
        <x:v>9</x:v>
      </x:c>
      <x:c r="C591" s="20" t="n">
        <x:v>11</x:v>
      </x:c>
      <x:c r="D591" s="189" t="n">
        <x:v>1.1</x:v>
      </x:c>
      <x:c r="E591" s="189" t="n">
        <x:v>0.9</x:v>
      </x:c>
      <x:c r="F591" s="189" t="n">
        <x:f>MAX(MIN('詳細設定'!$D$15+0.05,1),0)</x:f>
        <x:v>0.45</x:v>
      </x:c>
      <x:c r="G591" s="563" t="n">
        <x:f>'_計算月次'!$J$15</x:f>
        <x:v>398.45169764745054</x:v>
      </x:c>
      <x:c r="H591" s="563" t="n">
        <x:f>'_計算月次'!$K$15</x:f>
        <x:v>360</x:v>
      </x:c>
      <x:c r="I591" s="563" t="n">
        <x:f>(1-MAX(MIN('詳細設定'!$D$16,0.999999),0))^(B591-1)</x:f>
        <x:v>1</x:v>
      </x:c>
      <x:c r="J591" s="563" t="n">
        <x:f>MAX(G591*D591*I591,0)</x:f>
        <x:v>438.29686741219564</x:v>
      </x:c>
      <x:c r="K591" s="563" t="n">
        <x:f>MAX(MIN(J591*F591,H591),0)</x:f>
        <x:v>197.23359033548803</x:v>
      </x:c>
      <x:c r="L591" s="563" t="n">
        <x:f>MAX(J591-K591,0)</x:f>
        <x:v>241.0632770767076</x:v>
      </x:c>
      <x:c r="M591" s="185" t="n">
        <x:f>MAX('詳細設定'!$D$6,0)*(1+'詳細設定'!$D$21)^(B591-1)</x:f>
        <x:v>37.899984696982806</x:v>
      </x:c>
      <x:c r="N591" s="185" t="n">
        <x:f>IF(B591&lt;=MAX(MIN('詳細設定'!$D$8,20),0),MAX('詳細設定'!$D$7,0),IF(B591&lt;=MAX(MIN('詳細設定'!$D$10,20),0),MAX('詳細設定'!$D$9,0),MAX('詳細設定'!$D$11,0)))</x:f>
        <x:v>8.3</x:v>
      </x:c>
      <x:c r="O591" s="190" t="n">
        <x:f>K591*M591</x:f>
        <x:v>7475.150055445973</x:v>
      </x:c>
      <x:c r="P591" s="190" t="n">
        <x:f>L591*N591</x:f>
        <x:v>2000.8251997366733</x:v>
      </x:c>
      <x:c r="Q591" s="190" t="n">
        <x:f>O591+P591</x:f>
        <x:v>9475.975255182646</x:v>
      </x:c>
      <x:c r="R591" s="196" t="n">
        <x:f>J591-K591-L591</x:f>
        <x:v>0</x:v>
      </x:c>
    </x:row>
    <x:row r="592">
      <x:c r="A592" s="20" t="str">
        <x:v>上振れ</x:v>
      </x:c>
      <x:c r="B592" s="20" t="n">
        <x:v>9</x:v>
      </x:c>
      <x:c r="C592" s="20" t="n">
        <x:v>12</x:v>
      </x:c>
      <x:c r="D592" s="189" t="n">
        <x:v>1.1</x:v>
      </x:c>
      <x:c r="E592" s="189" t="n">
        <x:v>0.9</x:v>
      </x:c>
      <x:c r="F592" s="189" t="n">
        <x:f>MAX(MIN('詳細設定'!$D$15+0.05,1),0)</x:f>
        <x:v>0.45</x:v>
      </x:c>
      <x:c r="G592" s="563" t="n">
        <x:f>'_計算月次'!$J$16</x:f>
        <x:v>443.97248688000184</x:v>
      </x:c>
      <x:c r="H592" s="563" t="n">
        <x:f>'_計算月次'!$K$16</x:f>
        <x:v>405</x:v>
      </x:c>
      <x:c r="I592" s="563" t="n">
        <x:f>(1-MAX(MIN('詳細設定'!$D$16,0.999999),0))^(B592-1)</x:f>
        <x:v>1</x:v>
      </x:c>
      <x:c r="J592" s="563" t="n">
        <x:f>MAX(G592*D592*I592,0)</x:f>
        <x:v>488.36973556800206</x:v>
      </x:c>
      <x:c r="K592" s="563" t="n">
        <x:f>MAX(MIN(J592*F592,H592),0)</x:f>
        <x:v>219.76638100560092</x:v>
      </x:c>
      <x:c r="L592" s="563" t="n">
        <x:f>MAX(J592-K592,0)</x:f>
        <x:v>268.60335456240114</x:v>
      </x:c>
      <x:c r="M592" s="185" t="n">
        <x:f>MAX('詳細設定'!$D$6,0)*(1+'詳細設定'!$D$21)^(B592-1)</x:f>
        <x:v>37.899984696982806</x:v>
      </x:c>
      <x:c r="N592" s="185" t="n">
        <x:f>IF(B592&lt;=MAX(MIN('詳細設定'!$D$8,20),0),MAX('詳細設定'!$D$7,0),IF(B592&lt;=MAX(MIN('詳細設定'!$D$10,20),0),MAX('詳細設定'!$D$9,0),MAX('詳細設定'!$D$11,0)))</x:f>
        <x:v>8.3</x:v>
      </x:c>
      <x:c r="O592" s="190" t="n">
        <x:f>K592*M592</x:f>
        <x:v>8329.142477023568</x:v>
      </x:c>
      <x:c r="P592" s="190" t="n">
        <x:f>L592*N592</x:f>
        <x:v>2229.4078428679295</x:v>
      </x:c>
      <x:c r="Q592" s="190" t="n">
        <x:f>O592+P592</x:f>
        <x:v>10558.550319891498</x:v>
      </x:c>
      <x:c r="R592" s="196" t="n">
        <x:f>J592-K592-L592</x:f>
        <x:v>0</x:v>
      </x:c>
    </x:row>
    <x:row r="593">
      <x:c r="A593" s="20" t="str">
        <x:v>上振れ</x:v>
      </x:c>
      <x:c r="B593" s="20" t="n">
        <x:v>10</x:v>
      </x:c>
      <x:c r="C593" s="20" t="n">
        <x:v>1</x:v>
      </x:c>
      <x:c r="D593" s="189" t="n">
        <x:v>1.1</x:v>
      </x:c>
      <x:c r="E593" s="189" t="n">
        <x:v>0.9</x:v>
      </x:c>
      <x:c r="F593" s="189" t="n">
        <x:f>MAX(MIN('詳細設定'!$D$15+0.05,1),0)</x:f>
        <x:v>0.45</x:v>
      </x:c>
      <x:c r="G593" s="563" t="n">
        <x:f>'_計算月次'!$J$5</x:f>
        <x:v>502.4147595742038</x:v>
      </x:c>
      <x:c r="H593" s="563" t="n">
        <x:f>'_計算月次'!$K$5</x:f>
        <x:v>450</x:v>
      </x:c>
      <x:c r="I593" s="563" t="n">
        <x:f>(1-MAX(MIN('詳細設定'!$D$16,0.999999),0))^(B593-1)</x:f>
        <x:v>1</x:v>
      </x:c>
      <x:c r="J593" s="563" t="n">
        <x:f>MAX(G593*D593*I593,0)</x:f>
        <x:v>552.6562355316242</x:v>
      </x:c>
      <x:c r="K593" s="563" t="n">
        <x:f>MAX(MIN(J593*F593,H593),0)</x:f>
        <x:v>248.69530598923092</x:v>
      </x:c>
      <x:c r="L593" s="563" t="n">
        <x:f>MAX(J593-K593,0)</x:f>
        <x:v>303.96092954239333</x:v>
      </x:c>
      <x:c r="M593" s="185" t="n">
        <x:f>MAX('詳細設定'!$D$6,0)*(1+'詳細設定'!$D$21)^(B593-1)</x:f>
        <x:v>38.27898454395263</x:v>
      </x:c>
      <x:c r="N593" s="185" t="n">
        <x:f>IF(B593&lt;=MAX(MIN('詳細設定'!$D$8,20),0),MAX('詳細設定'!$D$7,0),IF(B593&lt;=MAX(MIN('詳細設定'!$D$10,20),0),MAX('詳細設定'!$D$9,0),MAX('詳細設定'!$D$11,0)))</x:f>
        <x:v>8.3</x:v>
      </x:c>
      <x:c r="O593" s="190" t="n">
        <x:f>K593*M593</x:f>
        <x:v>9519.80377411534</x:v>
      </x:c>
      <x:c r="P593" s="190" t="n">
        <x:f>L593*N593</x:f>
        <x:v>2522.8757152018648</x:v>
      </x:c>
      <x:c r="Q593" s="190" t="n">
        <x:f>O593+P593</x:f>
        <x:v>12042.679489317205</x:v>
      </x:c>
      <x:c r="R593" s="196" t="n">
        <x:f>J593-K593-L593</x:f>
        <x:v>0</x:v>
      </x:c>
    </x:row>
    <x:row r="594">
      <x:c r="A594" s="20" t="str">
        <x:v>上振れ</x:v>
      </x:c>
      <x:c r="B594" s="20" t="n">
        <x:v>10</x:v>
      </x:c>
      <x:c r="C594" s="20" t="n">
        <x:v>2</x:v>
      </x:c>
      <x:c r="D594" s="189" t="n">
        <x:v>1.1</x:v>
      </x:c>
      <x:c r="E594" s="189" t="n">
        <x:v>0.9</x:v>
      </x:c>
      <x:c r="F594" s="189" t="n">
        <x:f>MAX(MIN('詳細設定'!$D$15+0.05,1),0)</x:f>
        <x:v>0.45</x:v>
      </x:c>
      <x:c r="G594" s="563" t="n">
        <x:f>'_計算月次'!$J$6</x:f>
        <x:v>472.4508339500229</x:v>
      </x:c>
      <x:c r="H594" s="563" t="n">
        <x:f>'_計算月次'!$K$6</x:f>
        <x:v>405</x:v>
      </x:c>
      <x:c r="I594" s="563" t="n">
        <x:f>(1-MAX(MIN('詳細設定'!$D$16,0.999999),0))^(B594-1)</x:f>
        <x:v>1</x:v>
      </x:c>
      <x:c r="J594" s="563" t="n">
        <x:f>MAX(G594*D594*I594,0)</x:f>
        <x:v>519.6959173450252</x:v>
      </x:c>
      <x:c r="K594" s="563" t="n">
        <x:f>MAX(MIN(J594*F594,H594),0)</x:f>
        <x:v>233.86316280526137</x:v>
      </x:c>
      <x:c r="L594" s="563" t="n">
        <x:f>MAX(J594-K594,0)</x:f>
        <x:v>285.83275453976387</x:v>
      </x:c>
      <x:c r="M594" s="185" t="n">
        <x:f>MAX('詳細設定'!$D$6,0)*(1+'詳細設定'!$D$21)^(B594-1)</x:f>
        <x:v>38.27898454395263</x:v>
      </x:c>
      <x:c r="N594" s="185" t="n">
        <x:f>IF(B594&lt;=MAX(MIN('詳細設定'!$D$8,20),0),MAX('詳細設定'!$D$7,0),IF(B594&lt;=MAX(MIN('詳細設定'!$D$10,20),0),MAX('詳細設定'!$D$9,0),MAX('詳細設定'!$D$11,0)))</x:f>
        <x:v>8.3</x:v>
      </x:c>
      <x:c r="O594" s="190" t="n">
        <x:f>K594*M594</x:f>
        <x:v>8952.044394422477</x:v>
      </x:c>
      <x:c r="P594" s="190" t="n">
        <x:f>L594*N594</x:f>
        <x:v>2372.4118626800405</x:v>
      </x:c>
      <x:c r="Q594" s="190" t="n">
        <x:f>O594+P594</x:f>
        <x:v>11324.456257102518</x:v>
      </x:c>
      <x:c r="R594" s="196" t="n">
        <x:f>J594-K594-L594</x:f>
        <x:v>0</x:v>
      </x:c>
    </x:row>
    <x:row r="595">
      <x:c r="A595" s="20" t="str">
        <x:v>上振れ</x:v>
      </x:c>
      <x:c r="B595" s="20" t="n">
        <x:v>10</x:v>
      </x:c>
      <x:c r="C595" s="20" t="n">
        <x:v>3</x:v>
      </x:c>
      <x:c r="D595" s="189" t="n">
        <x:v>1.1</x:v>
      </x:c>
      <x:c r="E595" s="189" t="n">
        <x:v>0.9</x:v>
      </x:c>
      <x:c r="F595" s="189" t="n">
        <x:f>MAX(MIN('詳細設定'!$D$15+0.05,1),0)</x:f>
        <x:v>0.45</x:v>
      </x:c>
      <x:c r="G595" s="563" t="n">
        <x:f>'_計算月次'!$J$7</x:f>
        <x:v>548.3418864753118</x:v>
      </x:c>
      <x:c r="H595" s="563" t="n">
        <x:f>'_計算月次'!$K$7</x:f>
        <x:v>360</x:v>
      </x:c>
      <x:c r="I595" s="563" t="n">
        <x:f>(1-MAX(MIN('詳細設定'!$D$16,0.999999),0))^(B595-1)</x:f>
        <x:v>1</x:v>
      </x:c>
      <x:c r="J595" s="563" t="n">
        <x:f>MAX(G595*D595*I595,0)</x:f>
        <x:v>603.176075122843</x:v>
      </x:c>
      <x:c r="K595" s="563" t="n">
        <x:f>MAX(MIN(J595*F595,H595),0)</x:f>
        <x:v>271.42923380527935</x:v>
      </x:c>
      <x:c r="L595" s="563" t="n">
        <x:f>MAX(J595-K595,0)</x:f>
        <x:v>331.7468413175637</x:v>
      </x:c>
      <x:c r="M595" s="185" t="n">
        <x:f>MAX('詳細設定'!$D$6,0)*(1+'詳細設定'!$D$21)^(B595-1)</x:f>
        <x:v>38.27898454395263</x:v>
      </x:c>
      <x:c r="N595" s="185" t="n">
        <x:f>IF(B595&lt;=MAX(MIN('詳細設定'!$D$8,20),0),MAX('詳細設定'!$D$7,0),IF(B595&lt;=MAX(MIN('詳細設定'!$D$10,20),0),MAX('詳細設定'!$D$9,0),MAX('詳細設定'!$D$11,0)))</x:f>
        <x:v>8.3</x:v>
      </x:c>
      <x:c r="O595" s="190" t="n">
        <x:f>K595*M595</x:f>
        <x:v>10390.035445609194</x:v>
      </x:c>
      <x:c r="P595" s="190" t="n">
        <x:f>L595*N595</x:f>
        <x:v>2753.4987829357788</x:v>
      </x:c>
      <x:c r="Q595" s="190" t="n">
        <x:f>O595+P595</x:f>
        <x:v>13143.534228544973</x:v>
      </x:c>
      <x:c r="R595" s="196" t="n">
        <x:f>J595-K595-L595</x:f>
        <x:v>0</x:v>
      </x:c>
    </x:row>
    <x:row r="596">
      <x:c r="A596" s="20" t="str">
        <x:v>上振れ</x:v>
      </x:c>
      <x:c r="B596" s="20" t="n">
        <x:v>10</x:v>
      </x:c>
      <x:c r="C596" s="20" t="n">
        <x:v>4</x:v>
      </x:c>
      <x:c r="D596" s="189" t="n">
        <x:v>1.1</x:v>
      </x:c>
      <x:c r="E596" s="189" t="n">
        <x:v>0.9</x:v>
      </x:c>
      <x:c r="F596" s="189" t="n">
        <x:f>MAX(MIN('詳細設定'!$D$15+0.05,1),0)</x:f>
        <x:v>0.45</x:v>
      </x:c>
      <x:c r="G596" s="563" t="n">
        <x:f>'_計算月次'!$J$8</x:f>
        <x:v>548.3944393749554</x:v>
      </x:c>
      <x:c r="H596" s="563" t="n">
        <x:f>'_計算月次'!$K$8</x:f>
        <x:v>315.00000000000006</x:v>
      </x:c>
      <x:c r="I596" s="563" t="n">
        <x:f>(1-MAX(MIN('詳細設定'!$D$16,0.999999),0))^(B596-1)</x:f>
        <x:v>1</x:v>
      </x:c>
      <x:c r="J596" s="563" t="n">
        <x:f>MAX(G596*D596*I596,0)</x:f>
        <x:v>603.233883312451</x:v>
      </x:c>
      <x:c r="K596" s="563" t="n">
        <x:f>MAX(MIN(J596*F596,H596),0)</x:f>
        <x:v>271.45524749060297</x:v>
      </x:c>
      <x:c r="L596" s="563" t="n">
        <x:f>MAX(J596-K596,0)</x:f>
        <x:v>331.778635821848</x:v>
      </x:c>
      <x:c r="M596" s="185" t="n">
        <x:f>MAX('詳細設定'!$D$6,0)*(1+'詳細設定'!$D$21)^(B596-1)</x:f>
        <x:v>38.27898454395263</x:v>
      </x:c>
      <x:c r="N596" s="185" t="n">
        <x:f>IF(B596&lt;=MAX(MIN('詳細設定'!$D$8,20),0),MAX('詳細設定'!$D$7,0),IF(B596&lt;=MAX(MIN('詳細設定'!$D$10,20),0),MAX('詳細設定'!$D$9,0),MAX('詳細設定'!$D$11,0)))</x:f>
        <x:v>8.3</x:v>
      </x:c>
      <x:c r="O596" s="190" t="n">
        <x:f>K596*M596</x:f>
        <x:v>10391.031223067628</x:v>
      </x:c>
      <x:c r="P596" s="190" t="n">
        <x:f>L596*N596</x:f>
        <x:v>2753.7626773213387</x:v>
      </x:c>
      <x:c r="Q596" s="190" t="n">
        <x:f>O596+P596</x:f>
        <x:v>13144.793900388966</x:v>
      </x:c>
      <x:c r="R596" s="196" t="n">
        <x:f>J596-K596-L596</x:f>
        <x:v>0</x:v>
      </x:c>
    </x:row>
    <x:row r="597">
      <x:c r="A597" s="20" t="str">
        <x:v>上振れ</x:v>
      </x:c>
      <x:c r="B597" s="20" t="n">
        <x:v>10</x:v>
      </x:c>
      <x:c r="C597" s="20" t="n">
        <x:v>5</x:v>
      </x:c>
      <x:c r="D597" s="189" t="n">
        <x:v>1.1</x:v>
      </x:c>
      <x:c r="E597" s="189" t="n">
        <x:v>0.9</x:v>
      </x:c>
      <x:c r="F597" s="189" t="n">
        <x:f>MAX(MIN('詳細設定'!$D$15+0.05,1),0)</x:f>
        <x:v>0.45</x:v>
      </x:c>
      <x:c r="G597" s="563" t="n">
        <x:f>'_計算月次'!$J$9</x:f>
        <x:v>552.2367574934775</x:v>
      </x:c>
      <x:c r="H597" s="563" t="n">
        <x:f>'_計算月次'!$K$9</x:f>
        <x:v>315.00000000000006</x:v>
      </x:c>
      <x:c r="I597" s="563" t="n">
        <x:f>(1-MAX(MIN('詳細設定'!$D$16,0.999999),0))^(B597-1)</x:f>
        <x:v>1</x:v>
      </x:c>
      <x:c r="J597" s="563" t="n">
        <x:f>MAX(G597*D597*I597,0)</x:f>
        <x:v>607.4604332428253</x:v>
      </x:c>
      <x:c r="K597" s="563" t="n">
        <x:f>MAX(MIN(J597*F597,H597),0)</x:f>
        <x:v>273.3571949592714</x:v>
      </x:c>
      <x:c r="L597" s="563" t="n">
        <x:f>MAX(J597-K597,0)</x:f>
        <x:v>334.1032382835539</x:v>
      </x:c>
      <x:c r="M597" s="185" t="n">
        <x:f>MAX('詳細設定'!$D$6,0)*(1+'詳細設定'!$D$21)^(B597-1)</x:f>
        <x:v>38.27898454395263</x:v>
      </x:c>
      <x:c r="N597" s="185" t="n">
        <x:f>IF(B597&lt;=MAX(MIN('詳細設定'!$D$8,20),0),MAX('詳細設定'!$D$7,0),IF(B597&lt;=MAX(MIN('詳細設定'!$D$10,20),0),MAX('詳細設定'!$D$9,0),MAX('詳細設定'!$D$11,0)))</x:f>
        <x:v>8.3</x:v>
      </x:c>
      <x:c r="O597" s="190" t="n">
        <x:f>K597*M597</x:f>
        <x:v>10463.835840824197</x:v>
      </x:c>
      <x:c r="P597" s="190" t="n">
        <x:f>L597*N597</x:f>
        <x:v>2773.0568777534972</x:v>
      </x:c>
      <x:c r="Q597" s="190" t="n">
        <x:f>O597+P597</x:f>
        <x:v>13236.892718577694</x:v>
      </x:c>
      <x:c r="R597" s="196" t="n">
        <x:f>J597-K597-L597</x:f>
        <x:v>0</x:v>
      </x:c>
    </x:row>
    <x:row r="598">
      <x:c r="A598" s="20" t="str">
        <x:v>上振れ</x:v>
      </x:c>
      <x:c r="B598" s="20" t="n">
        <x:v>10</x:v>
      </x:c>
      <x:c r="C598" s="20" t="n">
        <x:v>6</x:v>
      </x:c>
      <x:c r="D598" s="189" t="n">
        <x:v>1.1</x:v>
      </x:c>
      <x:c r="E598" s="189" t="n">
        <x:v>0.9</x:v>
      </x:c>
      <x:c r="F598" s="189" t="n">
        <x:f>MAX(MIN('詳細設定'!$D$15+0.05,1),0)</x:f>
        <x:v>0.45</x:v>
      </x:c>
      <x:c r="G598" s="563" t="n">
        <x:f>'_計算月次'!$J$10</x:f>
        <x:v>448.7994857612148</x:v>
      </x:c>
      <x:c r="H598" s="563" t="n">
        <x:f>'_計算月次'!$K$10</x:f>
        <x:v>360</x:v>
      </x:c>
      <x:c r="I598" s="563" t="n">
        <x:f>(1-MAX(MIN('詳細設定'!$D$16,0.999999),0))^(B598-1)</x:f>
        <x:v>1</x:v>
      </x:c>
      <x:c r="J598" s="563" t="n">
        <x:f>MAX(G598*D598*I598,0)</x:f>
        <x:v>493.6794343373363</x:v>
      </x:c>
      <x:c r="K598" s="563" t="n">
        <x:f>MAX(MIN(J598*F598,H598),0)</x:f>
        <x:v>222.15574545180135</x:v>
      </x:c>
      <x:c r="L598" s="563" t="n">
        <x:f>MAX(J598-K598,0)</x:f>
        <x:v>271.52368888553497</x:v>
      </x:c>
      <x:c r="M598" s="185" t="n">
        <x:f>MAX('詳細設定'!$D$6,0)*(1+'詳細設定'!$D$21)^(B598-1)</x:f>
        <x:v>38.27898454395263</x:v>
      </x:c>
      <x:c r="N598" s="185" t="n">
        <x:f>IF(B598&lt;=MAX(MIN('詳細設定'!$D$8,20),0),MAX('詳細設定'!$D$7,0),IF(B598&lt;=MAX(MIN('詳細設定'!$D$10,20),0),MAX('詳細設定'!$D$9,0),MAX('詳細設定'!$D$11,0)))</x:f>
        <x:v>8.3</x:v>
      </x:c>
      <x:c r="O598" s="190" t="n">
        <x:f>K598*M598</x:f>
        <x:v>8503.89634649978</x:v>
      </x:c>
      <x:c r="P598" s="190" t="n">
        <x:f>L598*N598</x:f>
        <x:v>2253.6466177499406</x:v>
      </x:c>
      <x:c r="Q598" s="190" t="n">
        <x:f>O598+P598</x:f>
        <x:v>10757.54296424972</x:v>
      </x:c>
      <x:c r="R598" s="196" t="n">
        <x:f>J598-K598-L598</x:f>
        <x:v>0</x:v>
      </x:c>
    </x:row>
    <x:row r="599">
      <x:c r="A599" s="20" t="str">
        <x:v>上振れ</x:v>
      </x:c>
      <x:c r="B599" s="20" t="n">
        <x:v>10</x:v>
      </x:c>
      <x:c r="C599" s="20" t="n">
        <x:v>7</x:v>
      </x:c>
      <x:c r="D599" s="189" t="n">
        <x:v>1.1</x:v>
      </x:c>
      <x:c r="E599" s="189" t="n">
        <x:v>0.9</x:v>
      </x:c>
      <x:c r="F599" s="189" t="n">
        <x:f>MAX(MIN('詳細設定'!$D$15+0.05,1),0)</x:f>
        <x:v>0.45</x:v>
      </x:c>
      <x:c r="G599" s="563" t="n">
        <x:f>'_計算月次'!$J$11</x:f>
        <x:v>476.0181638067866</x:v>
      </x:c>
      <x:c r="H599" s="563" t="n">
        <x:f>'_計算月次'!$K$11</x:f>
        <x:v>405</x:v>
      </x:c>
      <x:c r="I599" s="563" t="n">
        <x:f>(1-MAX(MIN('詳細設定'!$D$16,0.999999),0))^(B599-1)</x:f>
        <x:v>1</x:v>
      </x:c>
      <x:c r="J599" s="563" t="n">
        <x:f>MAX(G599*D599*I599,0)</x:f>
        <x:v>523.6199801874653</x:v>
      </x:c>
      <x:c r="K599" s="563" t="n">
        <x:f>MAX(MIN(J599*F599,H599),0)</x:f>
        <x:v>235.6289910843594</x:v>
      </x:c>
      <x:c r="L599" s="563" t="n">
        <x:f>MAX(J599-K599,0)</x:f>
        <x:v>287.9909891031059</x:v>
      </x:c>
      <x:c r="M599" s="185" t="n">
        <x:f>MAX('詳細設定'!$D$6,0)*(1+'詳細設定'!$D$21)^(B599-1)</x:f>
        <x:v>38.27898454395263</x:v>
      </x:c>
      <x:c r="N599" s="185" t="n">
        <x:f>IF(B599&lt;=MAX(MIN('詳細設定'!$D$8,20),0),MAX('詳細設定'!$D$7,0),IF(B599&lt;=MAX(MIN('詳細設定'!$D$10,20),0),MAX('詳細設定'!$D$9,0),MAX('詳細設定'!$D$11,0)))</x:f>
        <x:v>8.3</x:v>
      </x:c>
      <x:c r="O599" s="190" t="n">
        <x:f>K599*M599</x:f>
        <x:v>9019.638507825346</x:v>
      </x:c>
      <x:c r="P599" s="190" t="n">
        <x:f>L599*N599</x:f>
        <x:v>2390.325209555779</x:v>
      </x:c>
      <x:c r="Q599" s="190" t="n">
        <x:f>O599+P599</x:f>
        <x:v>11409.963717381124</x:v>
      </x:c>
      <x:c r="R599" s="196" t="n">
        <x:f>J599-K599-L599</x:f>
        <x:v>0</x:v>
      </x:c>
    </x:row>
    <x:row r="600">
      <x:c r="A600" s="20" t="str">
        <x:v>上振れ</x:v>
      </x:c>
      <x:c r="B600" s="20" t="n">
        <x:v>10</x:v>
      </x:c>
      <x:c r="C600" s="20" t="n">
        <x:v>8</x:v>
      </x:c>
      <x:c r="D600" s="189" t="n">
        <x:v>1.1</x:v>
      </x:c>
      <x:c r="E600" s="189" t="n">
        <x:v>0.9</x:v>
      </x:c>
      <x:c r="F600" s="189" t="n">
        <x:f>MAX(MIN('詳細設定'!$D$15+0.05,1),0)</x:f>
        <x:v>0.45</x:v>
      </x:c>
      <x:c r="G600" s="563" t="n">
        <x:f>'_計算月次'!$J$12</x:f>
        <x:v>528.6548067323699</x:v>
      </x:c>
      <x:c r="H600" s="563" t="n">
        <x:f>'_計算月次'!$K$12</x:f>
        <x:v>450</x:v>
      </x:c>
      <x:c r="I600" s="563" t="n">
        <x:f>(1-MAX(MIN('詳細設定'!$D$16,0.999999),0))^(B600-1)</x:f>
        <x:v>1</x:v>
      </x:c>
      <x:c r="J600" s="563" t="n">
        <x:f>MAX(G600*D600*I600,0)</x:f>
        <x:v>581.520287405607</x:v>
      </x:c>
      <x:c r="K600" s="563" t="n">
        <x:f>MAX(MIN(J600*F600,H600),0)</x:f>
        <x:v>261.6841293325231</x:v>
      </x:c>
      <x:c r="L600" s="563" t="n">
        <x:f>MAX(J600-K600,0)</x:f>
        <x:v>319.8361580730838</x:v>
      </x:c>
      <x:c r="M600" s="185" t="n">
        <x:f>MAX('詳細設定'!$D$6,0)*(1+'詳細設定'!$D$21)^(B600-1)</x:f>
        <x:v>38.27898454395263</x:v>
      </x:c>
      <x:c r="N600" s="185" t="n">
        <x:f>IF(B600&lt;=MAX(MIN('詳細設定'!$D$8,20),0),MAX('詳細設定'!$D$7,0),IF(B600&lt;=MAX(MIN('詳細設定'!$D$10,20),0),MAX('詳細設定'!$D$9,0),MAX('詳細設定'!$D$11,0)))</x:f>
        <x:v>8.3</x:v>
      </x:c>
      <x:c r="O600" s="190" t="n">
        <x:f>K600*M600</x:f>
        <x:v>10017.002742117355</x:v>
      </x:c>
      <x:c r="P600" s="190" t="n">
        <x:f>L600*N600</x:f>
        <x:v>2654.640112006596</x:v>
      </x:c>
      <x:c r="Q600" s="190" t="n">
        <x:f>O600+P600</x:f>
        <x:v>12671.642854123951</x:v>
      </x:c>
      <x:c r="R600" s="196" t="n">
        <x:f>J600-K600-L600</x:f>
        <x:v>0</x:v>
      </x:c>
    </x:row>
    <x:row r="601">
      <x:c r="A601" s="20" t="str">
        <x:v>上振れ</x:v>
      </x:c>
      <x:c r="B601" s="20" t="n">
        <x:v>10</x:v>
      </x:c>
      <x:c r="C601" s="20" t="n">
        <x:v>9</x:v>
      </x:c>
      <x:c r="D601" s="189" t="n">
        <x:v>1.1</x:v>
      </x:c>
      <x:c r="E601" s="189" t="n">
        <x:v>0.9</x:v>
      </x:c>
      <x:c r="F601" s="189" t="n">
        <x:f>MAX(MIN('詳細設定'!$D$15+0.05,1),0)</x:f>
        <x:v>0.45</x:v>
      </x:c>
      <x:c r="G601" s="563" t="n">
        <x:f>'_計算月次'!$J$13</x:f>
        <x:v>436.37734765103465</x:v>
      </x:c>
      <x:c r="H601" s="563" t="n">
        <x:f>'_計算月次'!$K$13</x:f>
        <x:v>360</x:v>
      </x:c>
      <x:c r="I601" s="563" t="n">
        <x:f>(1-MAX(MIN('詳細設定'!$D$16,0.999999),0))^(B601-1)</x:f>
        <x:v>1</x:v>
      </x:c>
      <x:c r="J601" s="563" t="n">
        <x:f>MAX(G601*D601*I601,0)</x:f>
        <x:v>480.01508241613817</x:v>
      </x:c>
      <x:c r="K601" s="563" t="n">
        <x:f>MAX(MIN(J601*F601,H601),0)</x:f>
        <x:v>216.00678708726218</x:v>
      </x:c>
      <x:c r="L601" s="563" t="n">
        <x:f>MAX(J601-K601,0)</x:f>
        <x:v>264.008295328876</x:v>
      </x:c>
      <x:c r="M601" s="185" t="n">
        <x:f>MAX('詳細設定'!$D$6,0)*(1+'詳細設定'!$D$21)^(B601-1)</x:f>
        <x:v>38.27898454395263</x:v>
      </x:c>
      <x:c r="N601" s="185" t="n">
        <x:f>IF(B601&lt;=MAX(MIN('詳細設定'!$D$8,20),0),MAX('詳細設定'!$D$7,0),IF(B601&lt;=MAX(MIN('詳細設定'!$D$10,20),0),MAX('詳細設定'!$D$9,0),MAX('詳細設定'!$D$11,0)))</x:f>
        <x:v>8.3</x:v>
      </x:c>
      <x:c r="O601" s="190" t="n">
        <x:f>K601*M601</x:f>
        <x:v>8268.520464302175</x:v>
      </x:c>
      <x:c r="P601" s="190" t="n">
        <x:f>L601*N601</x:f>
        <x:v>2191.268851229671</x:v>
      </x:c>
      <x:c r="Q601" s="190" t="n">
        <x:f>O601+P601</x:f>
        <x:v>10459.789315531845</x:v>
      </x:c>
      <x:c r="R601" s="196" t="n">
        <x:f>J601-K601-L601</x:f>
        <x:v>0</x:v>
      </x:c>
    </x:row>
    <x:row r="602">
      <x:c r="A602" s="20" t="str">
        <x:v>上振れ</x:v>
      </x:c>
      <x:c r="B602" s="20" t="n">
        <x:v>10</x:v>
      </x:c>
      <x:c r="C602" s="20" t="n">
        <x:v>10</x:v>
      </x:c>
      <x:c r="D602" s="189" t="n">
        <x:v>1.1</x:v>
      </x:c>
      <x:c r="E602" s="189" t="n">
        <x:v>0.9</x:v>
      </x:c>
      <x:c r="F602" s="189" t="n">
        <x:f>MAX(MIN('詳細設定'!$D$15+0.05,1),0)</x:f>
        <x:v>0.45</x:v>
      </x:c>
      <x:c r="G602" s="563" t="n">
        <x:f>'_計算月次'!$J$14</x:f>
        <x:v>408.8269849869007</x:v>
      </x:c>
      <x:c r="H602" s="563" t="n">
        <x:f>'_計算月次'!$K$14</x:f>
        <x:v>315.00000000000006</x:v>
      </x:c>
      <x:c r="I602" s="563" t="n">
        <x:f>(1-MAX(MIN('詳細設定'!$D$16,0.999999),0))^(B602-1)</x:f>
        <x:v>1</x:v>
      </x:c>
      <x:c r="J602" s="563" t="n">
        <x:f>MAX(G602*D602*I602,0)</x:f>
        <x:v>449.7096834855908</x:v>
      </x:c>
      <x:c r="K602" s="563" t="n">
        <x:f>MAX(MIN(J602*F602,H602),0)</x:f>
        <x:v>202.36935756851585</x:v>
      </x:c>
      <x:c r="L602" s="563" t="n">
        <x:f>MAX(J602-K602,0)</x:f>
        <x:v>247.34032591707495</x:v>
      </x:c>
      <x:c r="M602" s="185" t="n">
        <x:f>MAX('詳細設定'!$D$6,0)*(1+'詳細設定'!$D$21)^(B602-1)</x:f>
        <x:v>38.27898454395263</x:v>
      </x:c>
      <x:c r="N602" s="185" t="n">
        <x:f>IF(B602&lt;=MAX(MIN('詳細設定'!$D$8,20),0),MAX('詳細設定'!$D$7,0),IF(B602&lt;=MAX(MIN('詳細設定'!$D$10,20),0),MAX('詳細設定'!$D$9,0),MAX('詳細設定'!$D$11,0)))</x:f>
        <x:v>8.3</x:v>
      </x:c>
      <x:c r="O602" s="190" t="n">
        <x:f>K602*M602</x:f>
        <x:v>7746.493510534842</x:v>
      </x:c>
      <x:c r="P602" s="190" t="n">
        <x:f>L602*N602</x:f>
        <x:v>2052.9247051117222</x:v>
      </x:c>
      <x:c r="Q602" s="190" t="n">
        <x:f>O602+P602</x:f>
        <x:v>9799.418215646565</x:v>
      </x:c>
      <x:c r="R602" s="196" t="n">
        <x:f>J602-K602-L602</x:f>
        <x:v>0</x:v>
      </x:c>
    </x:row>
    <x:row r="603">
      <x:c r="A603" s="20" t="str">
        <x:v>上振れ</x:v>
      </x:c>
      <x:c r="B603" s="20" t="n">
        <x:v>10</x:v>
      </x:c>
      <x:c r="C603" s="20" t="n">
        <x:v>11</x:v>
      </x:c>
      <x:c r="D603" s="189" t="n">
        <x:v>1.1</x:v>
      </x:c>
      <x:c r="E603" s="189" t="n">
        <x:v>0.9</x:v>
      </x:c>
      <x:c r="F603" s="189" t="n">
        <x:f>MAX(MIN('詳細設定'!$D$15+0.05,1),0)</x:f>
        <x:v>0.45</x:v>
      </x:c>
      <x:c r="G603" s="563" t="n">
        <x:f>'_計算月次'!$J$15</x:f>
        <x:v>398.45169764745054</x:v>
      </x:c>
      <x:c r="H603" s="563" t="n">
        <x:f>'_計算月次'!$K$15</x:f>
        <x:v>360</x:v>
      </x:c>
      <x:c r="I603" s="563" t="n">
        <x:f>(1-MAX(MIN('詳細設定'!$D$16,0.999999),0))^(B603-1)</x:f>
        <x:v>1</x:v>
      </x:c>
      <x:c r="J603" s="563" t="n">
        <x:f>MAX(G603*D603*I603,0)</x:f>
        <x:v>438.29686741219564</x:v>
      </x:c>
      <x:c r="K603" s="563" t="n">
        <x:f>MAX(MIN(J603*F603,H603),0)</x:f>
        <x:v>197.23359033548803</x:v>
      </x:c>
      <x:c r="L603" s="563" t="n">
        <x:f>MAX(J603-K603,0)</x:f>
        <x:v>241.0632770767076</x:v>
      </x:c>
      <x:c r="M603" s="185" t="n">
        <x:f>MAX('詳細設定'!$D$6,0)*(1+'詳細設定'!$D$21)^(B603-1)</x:f>
        <x:v>38.27898454395263</x:v>
      </x:c>
      <x:c r="N603" s="185" t="n">
        <x:f>IF(B603&lt;=MAX(MIN('詳細設定'!$D$8,20),0),MAX('詳細設定'!$D$7,0),IF(B603&lt;=MAX(MIN('詳細設定'!$D$10,20),0),MAX('詳細設定'!$D$9,0),MAX('詳細設定'!$D$11,0)))</x:f>
        <x:v>8.3</x:v>
      </x:c>
      <x:c r="O603" s="190" t="n">
        <x:f>K603*M603</x:f>
        <x:v>7549.901556000432</x:v>
      </x:c>
      <x:c r="P603" s="190" t="n">
        <x:f>L603*N603</x:f>
        <x:v>2000.8251997366733</x:v>
      </x:c>
      <x:c r="Q603" s="190" t="n">
        <x:f>O603+P603</x:f>
        <x:v>9550.726755737105</x:v>
      </x:c>
      <x:c r="R603" s="196" t="n">
        <x:f>J603-K603-L603</x:f>
        <x:v>0</x:v>
      </x:c>
    </x:row>
    <x:row r="604">
      <x:c r="A604" s="20" t="str">
        <x:v>上振れ</x:v>
      </x:c>
      <x:c r="B604" s="20" t="n">
        <x:v>10</x:v>
      </x:c>
      <x:c r="C604" s="20" t="n">
        <x:v>12</x:v>
      </x:c>
      <x:c r="D604" s="189" t="n">
        <x:v>1.1</x:v>
      </x:c>
      <x:c r="E604" s="189" t="n">
        <x:v>0.9</x:v>
      </x:c>
      <x:c r="F604" s="189" t="n">
        <x:f>MAX(MIN('詳細設定'!$D$15+0.05,1),0)</x:f>
        <x:v>0.45</x:v>
      </x:c>
      <x:c r="G604" s="563" t="n">
        <x:f>'_計算月次'!$J$16</x:f>
        <x:v>443.97248688000184</x:v>
      </x:c>
      <x:c r="H604" s="563" t="n">
        <x:f>'_計算月次'!$K$16</x:f>
        <x:v>405</x:v>
      </x:c>
      <x:c r="I604" s="563" t="n">
        <x:f>(1-MAX(MIN('詳細設定'!$D$16,0.999999),0))^(B604-1)</x:f>
        <x:v>1</x:v>
      </x:c>
      <x:c r="J604" s="563" t="n">
        <x:f>MAX(G604*D604*I604,0)</x:f>
        <x:v>488.36973556800206</x:v>
      </x:c>
      <x:c r="K604" s="563" t="n">
        <x:f>MAX(MIN(J604*F604,H604),0)</x:f>
        <x:v>219.76638100560092</x:v>
      </x:c>
      <x:c r="L604" s="563" t="n">
        <x:f>MAX(J604-K604,0)</x:f>
        <x:v>268.60335456240114</x:v>
      </x:c>
      <x:c r="M604" s="185" t="n">
        <x:f>MAX('詳細設定'!$D$6,0)*(1+'詳細設定'!$D$21)^(B604-1)</x:f>
        <x:v>38.27898454395263</x:v>
      </x:c>
      <x:c r="N604" s="185" t="n">
        <x:f>IF(B604&lt;=MAX(MIN('詳細設定'!$D$8,20),0),MAX('詳細設定'!$D$7,0),IF(B604&lt;=MAX(MIN('詳細設定'!$D$10,20),0),MAX('詳細設定'!$D$9,0),MAX('詳細設定'!$D$11,0)))</x:f>
        <x:v>8.3</x:v>
      </x:c>
      <x:c r="O604" s="190" t="n">
        <x:f>K604*M604</x:f>
        <x:v>8412.433901793804</x:v>
      </x:c>
      <x:c r="P604" s="190" t="n">
        <x:f>L604*N604</x:f>
        <x:v>2229.4078428679295</x:v>
      </x:c>
      <x:c r="Q604" s="190" t="n">
        <x:f>O604+P604</x:f>
        <x:v>10641.841744661733</x:v>
      </x:c>
      <x:c r="R604" s="196" t="n">
        <x:f>J604-K604-L604</x:f>
        <x:v>0</x:v>
      </x:c>
    </x:row>
    <x:row r="605">
      <x:c r="A605" s="20" t="str">
        <x:v>上振れ</x:v>
      </x:c>
      <x:c r="B605" s="20" t="n">
        <x:v>11</x:v>
      </x:c>
      <x:c r="C605" s="20" t="n">
        <x:v>1</x:v>
      </x:c>
      <x:c r="D605" s="189" t="n">
        <x:v>1.1</x:v>
      </x:c>
      <x:c r="E605" s="189" t="n">
        <x:v>0.9</x:v>
      </x:c>
      <x:c r="F605" s="189" t="n">
        <x:f>MAX(MIN('詳細設定'!$D$15+0.05,1),0)</x:f>
        <x:v>0.45</x:v>
      </x:c>
      <x:c r="G605" s="563" t="n">
        <x:f>'_計算月次'!$J$5</x:f>
        <x:v>502.4147595742038</x:v>
      </x:c>
      <x:c r="H605" s="563" t="n">
        <x:f>'_計算月次'!$K$5</x:f>
        <x:v>450</x:v>
      </x:c>
      <x:c r="I605" s="563" t="n">
        <x:f>(1-MAX(MIN('詳細設定'!$D$16,0.999999),0))^(B605-1)</x:f>
        <x:v>1</x:v>
      </x:c>
      <x:c r="J605" s="563" t="n">
        <x:f>MAX(G605*D605*I605,0)</x:f>
        <x:v>552.6562355316242</x:v>
      </x:c>
      <x:c r="K605" s="563" t="n">
        <x:f>MAX(MIN(J605*F605,H605),0)</x:f>
        <x:v>248.69530598923092</x:v>
      </x:c>
      <x:c r="L605" s="563" t="n">
        <x:f>MAX(J605-K605,0)</x:f>
        <x:v>303.96092954239333</x:v>
      </x:c>
      <x:c r="M605" s="185" t="n">
        <x:f>MAX('詳細設定'!$D$6,0)*(1+'詳細設定'!$D$21)^(B605-1)</x:f>
        <x:v>38.66177438939216</x:v>
      </x:c>
      <x:c r="N605" s="185" t="n">
        <x:f>IF(B605&lt;=MAX(MIN('詳細設定'!$D$8,20),0),MAX('詳細設定'!$D$7,0),IF(B605&lt;=MAX(MIN('詳細設定'!$D$10,20),0),MAX('詳細設定'!$D$9,0),MAX('詳細設定'!$D$11,0)))</x:f>
        <x:v>8.3</x:v>
      </x:c>
      <x:c r="O605" s="190" t="n">
        <x:f>K605*M605</x:f>
        <x:v>9615.001811856493</x:v>
      </x:c>
      <x:c r="P605" s="190" t="n">
        <x:f>L605*N605</x:f>
        <x:v>2522.8757152018648</x:v>
      </x:c>
      <x:c r="Q605" s="190" t="n">
        <x:f>O605+P605</x:f>
        <x:v>12137.877527058357</x:v>
      </x:c>
      <x:c r="R605" s="196" t="n">
        <x:f>J605-K605-L605</x:f>
        <x:v>0</x:v>
      </x:c>
    </x:row>
    <x:row r="606">
      <x:c r="A606" s="20" t="str">
        <x:v>上振れ</x:v>
      </x:c>
      <x:c r="B606" s="20" t="n">
        <x:v>11</x:v>
      </x:c>
      <x:c r="C606" s="20" t="n">
        <x:v>2</x:v>
      </x:c>
      <x:c r="D606" s="189" t="n">
        <x:v>1.1</x:v>
      </x:c>
      <x:c r="E606" s="189" t="n">
        <x:v>0.9</x:v>
      </x:c>
      <x:c r="F606" s="189" t="n">
        <x:f>MAX(MIN('詳細設定'!$D$15+0.05,1),0)</x:f>
        <x:v>0.45</x:v>
      </x:c>
      <x:c r="G606" s="563" t="n">
        <x:f>'_計算月次'!$J$6</x:f>
        <x:v>472.4508339500229</x:v>
      </x:c>
      <x:c r="H606" s="563" t="n">
        <x:f>'_計算月次'!$K$6</x:f>
        <x:v>405</x:v>
      </x:c>
      <x:c r="I606" s="563" t="n">
        <x:f>(1-MAX(MIN('詳細設定'!$D$16,0.999999),0))^(B606-1)</x:f>
        <x:v>1</x:v>
      </x:c>
      <x:c r="J606" s="563" t="n">
        <x:f>MAX(G606*D606*I606,0)</x:f>
        <x:v>519.6959173450252</x:v>
      </x:c>
      <x:c r="K606" s="563" t="n">
        <x:f>MAX(MIN(J606*F606,H606),0)</x:f>
        <x:v>233.86316280526137</x:v>
      </x:c>
      <x:c r="L606" s="563" t="n">
        <x:f>MAX(J606-K606,0)</x:f>
        <x:v>285.83275453976387</x:v>
      </x:c>
      <x:c r="M606" s="185" t="n">
        <x:f>MAX('詳細設定'!$D$6,0)*(1+'詳細設定'!$D$21)^(B606-1)</x:f>
        <x:v>38.66177438939216</x:v>
      </x:c>
      <x:c r="N606" s="185" t="n">
        <x:f>IF(B606&lt;=MAX(MIN('詳細設定'!$D$8,20),0),MAX('詳細設定'!$D$7,0),IF(B606&lt;=MAX(MIN('詳細設定'!$D$10,20),0),MAX('詳細設定'!$D$9,0),MAX('詳細設定'!$D$11,0)))</x:f>
        <x:v>8.3</x:v>
      </x:c>
      <x:c r="O606" s="190" t="n">
        <x:f>K606*M606</x:f>
        <x:v>9041.564838366703</x:v>
      </x:c>
      <x:c r="P606" s="190" t="n">
        <x:f>L606*N606</x:f>
        <x:v>2372.4118626800405</x:v>
      </x:c>
      <x:c r="Q606" s="190" t="n">
        <x:f>O606+P606</x:f>
        <x:v>11413.976701046744</x:v>
      </x:c>
      <x:c r="R606" s="196" t="n">
        <x:f>J606-K606-L606</x:f>
        <x:v>0</x:v>
      </x:c>
    </x:row>
    <x:row r="607">
      <x:c r="A607" s="20" t="str">
        <x:v>上振れ</x:v>
      </x:c>
      <x:c r="B607" s="20" t="n">
        <x:v>11</x:v>
      </x:c>
      <x:c r="C607" s="20" t="n">
        <x:v>3</x:v>
      </x:c>
      <x:c r="D607" s="189" t="n">
        <x:v>1.1</x:v>
      </x:c>
      <x:c r="E607" s="189" t="n">
        <x:v>0.9</x:v>
      </x:c>
      <x:c r="F607" s="189" t="n">
        <x:f>MAX(MIN('詳細設定'!$D$15+0.05,1),0)</x:f>
        <x:v>0.45</x:v>
      </x:c>
      <x:c r="G607" s="563" t="n">
        <x:f>'_計算月次'!$J$7</x:f>
        <x:v>548.3418864753118</x:v>
      </x:c>
      <x:c r="H607" s="563" t="n">
        <x:f>'_計算月次'!$K$7</x:f>
        <x:v>360</x:v>
      </x:c>
      <x:c r="I607" s="563" t="n">
        <x:f>(1-MAX(MIN('詳細設定'!$D$16,0.999999),0))^(B607-1)</x:f>
        <x:v>1</x:v>
      </x:c>
      <x:c r="J607" s="563" t="n">
        <x:f>MAX(G607*D607*I607,0)</x:f>
        <x:v>603.176075122843</x:v>
      </x:c>
      <x:c r="K607" s="563" t="n">
        <x:f>MAX(MIN(J607*F607,H607),0)</x:f>
        <x:v>271.42923380527935</x:v>
      </x:c>
      <x:c r="L607" s="563" t="n">
        <x:f>MAX(J607-K607,0)</x:f>
        <x:v>331.7468413175637</x:v>
      </x:c>
      <x:c r="M607" s="185" t="n">
        <x:f>MAX('詳細設定'!$D$6,0)*(1+'詳細設定'!$D$21)^(B607-1)</x:f>
        <x:v>38.66177438939216</x:v>
      </x:c>
      <x:c r="N607" s="185" t="n">
        <x:f>IF(B607&lt;=MAX(MIN('詳細設定'!$D$8,20),0),MAX('詳細設定'!$D$7,0),IF(B607&lt;=MAX(MIN('詳細設定'!$D$10,20),0),MAX('詳細設定'!$D$9,0),MAX('詳細設定'!$D$11,0)))</x:f>
        <x:v>8.3</x:v>
      </x:c>
      <x:c r="O607" s="190" t="n">
        <x:f>K607*M607</x:f>
        <x:v>10493.935800065285</x:v>
      </x:c>
      <x:c r="P607" s="190" t="n">
        <x:f>L607*N607</x:f>
        <x:v>2753.4987829357788</x:v>
      </x:c>
      <x:c r="Q607" s="190" t="n">
        <x:f>O607+P607</x:f>
        <x:v>13247.434583001064</x:v>
      </x:c>
      <x:c r="R607" s="196" t="n">
        <x:f>J607-K607-L607</x:f>
        <x:v>0</x:v>
      </x:c>
    </x:row>
    <x:row r="608">
      <x:c r="A608" s="20" t="str">
        <x:v>上振れ</x:v>
      </x:c>
      <x:c r="B608" s="20" t="n">
        <x:v>11</x:v>
      </x:c>
      <x:c r="C608" s="20" t="n">
        <x:v>4</x:v>
      </x:c>
      <x:c r="D608" s="189" t="n">
        <x:v>1.1</x:v>
      </x:c>
      <x:c r="E608" s="189" t="n">
        <x:v>0.9</x:v>
      </x:c>
      <x:c r="F608" s="189" t="n">
        <x:f>MAX(MIN('詳細設定'!$D$15+0.05,1),0)</x:f>
        <x:v>0.45</x:v>
      </x:c>
      <x:c r="G608" s="563" t="n">
        <x:f>'_計算月次'!$J$8</x:f>
        <x:v>548.3944393749554</x:v>
      </x:c>
      <x:c r="H608" s="563" t="n">
        <x:f>'_計算月次'!$K$8</x:f>
        <x:v>315.00000000000006</x:v>
      </x:c>
      <x:c r="I608" s="563" t="n">
        <x:f>(1-MAX(MIN('詳細設定'!$D$16,0.999999),0))^(B608-1)</x:f>
        <x:v>1</x:v>
      </x:c>
      <x:c r="J608" s="563" t="n">
        <x:f>MAX(G608*D608*I608,0)</x:f>
        <x:v>603.233883312451</x:v>
      </x:c>
      <x:c r="K608" s="563" t="n">
        <x:f>MAX(MIN(J608*F608,H608),0)</x:f>
        <x:v>271.45524749060297</x:v>
      </x:c>
      <x:c r="L608" s="563" t="n">
        <x:f>MAX(J608-K608,0)</x:f>
        <x:v>331.778635821848</x:v>
      </x:c>
      <x:c r="M608" s="185" t="n">
        <x:f>MAX('詳細設定'!$D$6,0)*(1+'詳細設定'!$D$21)^(B608-1)</x:f>
        <x:v>38.66177438939216</x:v>
      </x:c>
      <x:c r="N608" s="185" t="n">
        <x:f>IF(B608&lt;=MAX(MIN('詳細設定'!$D$8,20),0),MAX('詳細設定'!$D$7,0),IF(B608&lt;=MAX(MIN('詳細設定'!$D$10,20),0),MAX('詳細設定'!$D$9,0),MAX('詳細設定'!$D$11,0)))</x:f>
        <x:v>8.3</x:v>
      </x:c>
      <x:c r="O608" s="190" t="n">
        <x:f>K608*M608</x:f>
        <x:v>10494.941535298303</x:v>
      </x:c>
      <x:c r="P608" s="190" t="n">
        <x:f>L608*N608</x:f>
        <x:v>2753.7626773213387</x:v>
      </x:c>
      <x:c r="Q608" s="190" t="n">
        <x:f>O608+P608</x:f>
        <x:v>13248.704212619643</x:v>
      </x:c>
      <x:c r="R608" s="196" t="n">
        <x:f>J608-K608-L608</x:f>
        <x:v>0</x:v>
      </x:c>
    </x:row>
    <x:row r="609">
      <x:c r="A609" s="20" t="str">
        <x:v>上振れ</x:v>
      </x:c>
      <x:c r="B609" s="20" t="n">
        <x:v>11</x:v>
      </x:c>
      <x:c r="C609" s="20" t="n">
        <x:v>5</x:v>
      </x:c>
      <x:c r="D609" s="189" t="n">
        <x:v>1.1</x:v>
      </x:c>
      <x:c r="E609" s="189" t="n">
        <x:v>0.9</x:v>
      </x:c>
      <x:c r="F609" s="189" t="n">
        <x:f>MAX(MIN('詳細設定'!$D$15+0.05,1),0)</x:f>
        <x:v>0.45</x:v>
      </x:c>
      <x:c r="G609" s="563" t="n">
        <x:f>'_計算月次'!$J$9</x:f>
        <x:v>552.2367574934775</x:v>
      </x:c>
      <x:c r="H609" s="563" t="n">
        <x:f>'_計算月次'!$K$9</x:f>
        <x:v>315.00000000000006</x:v>
      </x:c>
      <x:c r="I609" s="563" t="n">
        <x:f>(1-MAX(MIN('詳細設定'!$D$16,0.999999),0))^(B609-1)</x:f>
        <x:v>1</x:v>
      </x:c>
      <x:c r="J609" s="563" t="n">
        <x:f>MAX(G609*D609*I609,0)</x:f>
        <x:v>607.4604332428253</x:v>
      </x:c>
      <x:c r="K609" s="563" t="n">
        <x:f>MAX(MIN(J609*F609,H609),0)</x:f>
        <x:v>273.3571949592714</x:v>
      </x:c>
      <x:c r="L609" s="563" t="n">
        <x:f>MAX(J609-K609,0)</x:f>
        <x:v>334.1032382835539</x:v>
      </x:c>
      <x:c r="M609" s="185" t="n">
        <x:f>MAX('詳細設定'!$D$6,0)*(1+'詳細設定'!$D$21)^(B609-1)</x:f>
        <x:v>38.66177438939216</x:v>
      </x:c>
      <x:c r="N609" s="185" t="n">
        <x:f>IF(B609&lt;=MAX(MIN('詳細設定'!$D$8,20),0),MAX('詳細設定'!$D$7,0),IF(B609&lt;=MAX(MIN('詳細設定'!$D$10,20),0),MAX('詳細設定'!$D$9,0),MAX('詳細設定'!$D$11,0)))</x:f>
        <x:v>8.3</x:v>
      </x:c>
      <x:c r="O609" s="190" t="n">
        <x:f>K609*M609</x:f>
        <x:v>10568.474199232438</x:v>
      </x:c>
      <x:c r="P609" s="190" t="n">
        <x:f>L609*N609</x:f>
        <x:v>2773.0568777534972</x:v>
      </x:c>
      <x:c r="Q609" s="190" t="n">
        <x:f>O609+P609</x:f>
        <x:v>13341.531076985935</x:v>
      </x:c>
      <x:c r="R609" s="196" t="n">
        <x:f>J609-K609-L609</x:f>
        <x:v>0</x:v>
      </x:c>
    </x:row>
    <x:row r="610">
      <x:c r="A610" s="20" t="str">
        <x:v>上振れ</x:v>
      </x:c>
      <x:c r="B610" s="20" t="n">
        <x:v>11</x:v>
      </x:c>
      <x:c r="C610" s="20" t="n">
        <x:v>6</x:v>
      </x:c>
      <x:c r="D610" s="189" t="n">
        <x:v>1.1</x:v>
      </x:c>
      <x:c r="E610" s="189" t="n">
        <x:v>0.9</x:v>
      </x:c>
      <x:c r="F610" s="189" t="n">
        <x:f>MAX(MIN('詳細設定'!$D$15+0.05,1),0)</x:f>
        <x:v>0.45</x:v>
      </x:c>
      <x:c r="G610" s="563" t="n">
        <x:f>'_計算月次'!$J$10</x:f>
        <x:v>448.7994857612148</x:v>
      </x:c>
      <x:c r="H610" s="563" t="n">
        <x:f>'_計算月次'!$K$10</x:f>
        <x:v>360</x:v>
      </x:c>
      <x:c r="I610" s="563" t="n">
        <x:f>(1-MAX(MIN('詳細設定'!$D$16,0.999999),0))^(B610-1)</x:f>
        <x:v>1</x:v>
      </x:c>
      <x:c r="J610" s="563" t="n">
        <x:f>MAX(G610*D610*I610,0)</x:f>
        <x:v>493.6794343373363</x:v>
      </x:c>
      <x:c r="K610" s="563" t="n">
        <x:f>MAX(MIN(J610*F610,H610),0)</x:f>
        <x:v>222.15574545180135</x:v>
      </x:c>
      <x:c r="L610" s="563" t="n">
        <x:f>MAX(J610-K610,0)</x:f>
        <x:v>271.52368888553497</x:v>
      </x:c>
      <x:c r="M610" s="185" t="n">
        <x:f>MAX('詳細設定'!$D$6,0)*(1+'詳細設定'!$D$21)^(B610-1)</x:f>
        <x:v>38.66177438939216</x:v>
      </x:c>
      <x:c r="N610" s="185" t="n">
        <x:f>IF(B610&lt;=MAX(MIN('詳細設定'!$D$8,20),0),MAX('詳細設定'!$D$7,0),IF(B610&lt;=MAX(MIN('詳細設定'!$D$10,20),0),MAX('詳細設定'!$D$9,0),MAX('詳細設定'!$D$11,0)))</x:f>
        <x:v>8.3</x:v>
      </x:c>
      <x:c r="O610" s="190" t="n">
        <x:f>K610*M610</x:f>
        <x:v>8588.935309964776</x:v>
      </x:c>
      <x:c r="P610" s="190" t="n">
        <x:f>L610*N610</x:f>
        <x:v>2253.6466177499406</x:v>
      </x:c>
      <x:c r="Q610" s="190" t="n">
        <x:f>O610+P610</x:f>
        <x:v>10842.581927714717</x:v>
      </x:c>
      <x:c r="R610" s="196" t="n">
        <x:f>J610-K610-L610</x:f>
        <x:v>0</x:v>
      </x:c>
    </x:row>
    <x:row r="611">
      <x:c r="A611" s="20" t="str">
        <x:v>上振れ</x:v>
      </x:c>
      <x:c r="B611" s="20" t="n">
        <x:v>11</x:v>
      </x:c>
      <x:c r="C611" s="20" t="n">
        <x:v>7</x:v>
      </x:c>
      <x:c r="D611" s="189" t="n">
        <x:v>1.1</x:v>
      </x:c>
      <x:c r="E611" s="189" t="n">
        <x:v>0.9</x:v>
      </x:c>
      <x:c r="F611" s="189" t="n">
        <x:f>MAX(MIN('詳細設定'!$D$15+0.05,1),0)</x:f>
        <x:v>0.45</x:v>
      </x:c>
      <x:c r="G611" s="563" t="n">
        <x:f>'_計算月次'!$J$11</x:f>
        <x:v>476.0181638067866</x:v>
      </x:c>
      <x:c r="H611" s="563" t="n">
        <x:f>'_計算月次'!$K$11</x:f>
        <x:v>405</x:v>
      </x:c>
      <x:c r="I611" s="563" t="n">
        <x:f>(1-MAX(MIN('詳細設定'!$D$16,0.999999),0))^(B611-1)</x:f>
        <x:v>1</x:v>
      </x:c>
      <x:c r="J611" s="563" t="n">
        <x:f>MAX(G611*D611*I611,0)</x:f>
        <x:v>523.6199801874653</x:v>
      </x:c>
      <x:c r="K611" s="563" t="n">
        <x:f>MAX(MIN(J611*F611,H611),0)</x:f>
        <x:v>235.6289910843594</x:v>
      </x:c>
      <x:c r="L611" s="563" t="n">
        <x:f>MAX(J611-K611,0)</x:f>
        <x:v>287.9909891031059</x:v>
      </x:c>
      <x:c r="M611" s="185" t="n">
        <x:f>MAX('詳細設定'!$D$6,0)*(1+'詳細設定'!$D$21)^(B611-1)</x:f>
        <x:v>38.66177438939216</x:v>
      </x:c>
      <x:c r="N611" s="185" t="n">
        <x:f>IF(B611&lt;=MAX(MIN('詳細設定'!$D$8,20),0),MAX('詳細設定'!$D$7,0),IF(B611&lt;=MAX(MIN('詳細設定'!$D$10,20),0),MAX('詳細設定'!$D$9,0),MAX('詳細設定'!$D$11,0)))</x:f>
        <x:v>8.3</x:v>
      </x:c>
      <x:c r="O611" s="190" t="n">
        <x:f>K611*M611</x:f>
        <x:v>9109.834892903598</x:v>
      </x:c>
      <x:c r="P611" s="190" t="n">
        <x:f>L611*N611</x:f>
        <x:v>2390.325209555779</x:v>
      </x:c>
      <x:c r="Q611" s="190" t="n">
        <x:f>O611+P611</x:f>
        <x:v>11500.160102459377</x:v>
      </x:c>
      <x:c r="R611" s="196" t="n">
        <x:f>J611-K611-L611</x:f>
        <x:v>0</x:v>
      </x:c>
    </x:row>
    <x:row r="612">
      <x:c r="A612" s="20" t="str">
        <x:v>上振れ</x:v>
      </x:c>
      <x:c r="B612" s="20" t="n">
        <x:v>11</x:v>
      </x:c>
      <x:c r="C612" s="20" t="n">
        <x:v>8</x:v>
      </x:c>
      <x:c r="D612" s="189" t="n">
        <x:v>1.1</x:v>
      </x:c>
      <x:c r="E612" s="189" t="n">
        <x:v>0.9</x:v>
      </x:c>
      <x:c r="F612" s="189" t="n">
        <x:f>MAX(MIN('詳細設定'!$D$15+0.05,1),0)</x:f>
        <x:v>0.45</x:v>
      </x:c>
      <x:c r="G612" s="563" t="n">
        <x:f>'_計算月次'!$J$12</x:f>
        <x:v>528.6548067323699</x:v>
      </x:c>
      <x:c r="H612" s="563" t="n">
        <x:f>'_計算月次'!$K$12</x:f>
        <x:v>450</x:v>
      </x:c>
      <x:c r="I612" s="563" t="n">
        <x:f>(1-MAX(MIN('詳細設定'!$D$16,0.999999),0))^(B612-1)</x:f>
        <x:v>1</x:v>
      </x:c>
      <x:c r="J612" s="563" t="n">
        <x:f>MAX(G612*D612*I612,0)</x:f>
        <x:v>581.520287405607</x:v>
      </x:c>
      <x:c r="K612" s="563" t="n">
        <x:f>MAX(MIN(J612*F612,H612),0)</x:f>
        <x:v>261.6841293325231</x:v>
      </x:c>
      <x:c r="L612" s="563" t="n">
        <x:f>MAX(J612-K612,0)</x:f>
        <x:v>319.8361580730838</x:v>
      </x:c>
      <x:c r="M612" s="185" t="n">
        <x:f>MAX('詳細設定'!$D$6,0)*(1+'詳細設定'!$D$21)^(B612-1)</x:f>
        <x:v>38.66177438939216</x:v>
      </x:c>
      <x:c r="N612" s="185" t="n">
        <x:f>IF(B612&lt;=MAX(MIN('詳細設定'!$D$8,20),0),MAX('詳細設定'!$D$7,0),IF(B612&lt;=MAX(MIN('詳細設定'!$D$10,20),0),MAX('詳細設定'!$D$9,0),MAX('詳細設定'!$D$11,0)))</x:f>
        <x:v>8.3</x:v>
      </x:c>
      <x:c r="O612" s="190" t="n">
        <x:f>K612*M612</x:f>
        <x:v>10117.172769538527</x:v>
      </x:c>
      <x:c r="P612" s="190" t="n">
        <x:f>L612*N612</x:f>
        <x:v>2654.640112006596</x:v>
      </x:c>
      <x:c r="Q612" s="190" t="n">
        <x:f>O612+P612</x:f>
        <x:v>12771.812881545124</x:v>
      </x:c>
      <x:c r="R612" s="196" t="n">
        <x:f>J612-K612-L612</x:f>
        <x:v>0</x:v>
      </x:c>
    </x:row>
    <x:row r="613">
      <x:c r="A613" s="20" t="str">
        <x:v>上振れ</x:v>
      </x:c>
      <x:c r="B613" s="20" t="n">
        <x:v>11</x:v>
      </x:c>
      <x:c r="C613" s="20" t="n">
        <x:v>9</x:v>
      </x:c>
      <x:c r="D613" s="189" t="n">
        <x:v>1.1</x:v>
      </x:c>
      <x:c r="E613" s="189" t="n">
        <x:v>0.9</x:v>
      </x:c>
      <x:c r="F613" s="189" t="n">
        <x:f>MAX(MIN('詳細設定'!$D$15+0.05,1),0)</x:f>
        <x:v>0.45</x:v>
      </x:c>
      <x:c r="G613" s="563" t="n">
        <x:f>'_計算月次'!$J$13</x:f>
        <x:v>436.37734765103465</x:v>
      </x:c>
      <x:c r="H613" s="563" t="n">
        <x:f>'_計算月次'!$K$13</x:f>
        <x:v>360</x:v>
      </x:c>
      <x:c r="I613" s="563" t="n">
        <x:f>(1-MAX(MIN('詳細設定'!$D$16,0.999999),0))^(B613-1)</x:f>
        <x:v>1</x:v>
      </x:c>
      <x:c r="J613" s="563" t="n">
        <x:f>MAX(G613*D613*I613,0)</x:f>
        <x:v>480.01508241613817</x:v>
      </x:c>
      <x:c r="K613" s="563" t="n">
        <x:f>MAX(MIN(J613*F613,H613),0)</x:f>
        <x:v>216.00678708726218</x:v>
      </x:c>
      <x:c r="L613" s="563" t="n">
        <x:f>MAX(J613-K613,0)</x:f>
        <x:v>264.008295328876</x:v>
      </x:c>
      <x:c r="M613" s="185" t="n">
        <x:f>MAX('詳細設定'!$D$6,0)*(1+'詳細設定'!$D$21)^(B613-1)</x:f>
        <x:v>38.66177438939216</x:v>
      </x:c>
      <x:c r="N613" s="185" t="n">
        <x:f>IF(B613&lt;=MAX(MIN('詳細設定'!$D$8,20),0),MAX('詳細設定'!$D$7,0),IF(B613&lt;=MAX(MIN('詳細設定'!$D$10,20),0),MAX('詳細設定'!$D$9,0),MAX('詳細設定'!$D$11,0)))</x:f>
        <x:v>8.3</x:v>
      </x:c>
      <x:c r="O613" s="190" t="n">
        <x:f>K613*M613</x:f>
        <x:v>8351.205668945198</x:v>
      </x:c>
      <x:c r="P613" s="190" t="n">
        <x:f>L613*N613</x:f>
        <x:v>2191.268851229671</x:v>
      </x:c>
      <x:c r="Q613" s="190" t="n">
        <x:f>O613+P613</x:f>
        <x:v>10542.47452017487</x:v>
      </x:c>
      <x:c r="R613" s="196" t="n">
        <x:f>J613-K613-L613</x:f>
        <x:v>0</x:v>
      </x:c>
    </x:row>
    <x:row r="614">
      <x:c r="A614" s="20" t="str">
        <x:v>上振れ</x:v>
      </x:c>
      <x:c r="B614" s="20" t="n">
        <x:v>11</x:v>
      </x:c>
      <x:c r="C614" s="20" t="n">
        <x:v>10</x:v>
      </x:c>
      <x:c r="D614" s="189" t="n">
        <x:v>1.1</x:v>
      </x:c>
      <x:c r="E614" s="189" t="n">
        <x:v>0.9</x:v>
      </x:c>
      <x:c r="F614" s="189" t="n">
        <x:f>MAX(MIN('詳細設定'!$D$15+0.05,1),0)</x:f>
        <x:v>0.45</x:v>
      </x:c>
      <x:c r="G614" s="563" t="n">
        <x:f>'_計算月次'!$J$14</x:f>
        <x:v>408.8269849869007</x:v>
      </x:c>
      <x:c r="H614" s="563" t="n">
        <x:f>'_計算月次'!$K$14</x:f>
        <x:v>315.00000000000006</x:v>
      </x:c>
      <x:c r="I614" s="563" t="n">
        <x:f>(1-MAX(MIN('詳細設定'!$D$16,0.999999),0))^(B614-1)</x:f>
        <x:v>1</x:v>
      </x:c>
      <x:c r="J614" s="563" t="n">
        <x:f>MAX(G614*D614*I614,0)</x:f>
        <x:v>449.7096834855908</x:v>
      </x:c>
      <x:c r="K614" s="563" t="n">
        <x:f>MAX(MIN(J614*F614,H614),0)</x:f>
        <x:v>202.36935756851585</x:v>
      </x:c>
      <x:c r="L614" s="563" t="n">
        <x:f>MAX(J614-K614,0)</x:f>
        <x:v>247.34032591707495</x:v>
      </x:c>
      <x:c r="M614" s="185" t="n">
        <x:f>MAX('詳細設定'!$D$6,0)*(1+'詳細設定'!$D$21)^(B614-1)</x:f>
        <x:v>38.66177438939216</x:v>
      </x:c>
      <x:c r="N614" s="185" t="n">
        <x:f>IF(B614&lt;=MAX(MIN('詳細設定'!$D$8,20),0),MAX('詳細設定'!$D$7,0),IF(B614&lt;=MAX(MIN('詳細設定'!$D$10,20),0),MAX('詳細設定'!$D$9,0),MAX('詳細設定'!$D$11,0)))</x:f>
        <x:v>8.3</x:v>
      </x:c>
      <x:c r="O614" s="190" t="n">
        <x:f>K614*M614</x:f>
        <x:v>7823.95844564019</x:v>
      </x:c>
      <x:c r="P614" s="190" t="n">
        <x:f>L614*N614</x:f>
        <x:v>2052.9247051117222</x:v>
      </x:c>
      <x:c r="Q614" s="190" t="n">
        <x:f>O614+P614</x:f>
        <x:v>9876.883150751912</x:v>
      </x:c>
      <x:c r="R614" s="196" t="n">
        <x:f>J614-K614-L614</x:f>
        <x:v>0</x:v>
      </x:c>
    </x:row>
    <x:row r="615">
      <x:c r="A615" s="20" t="str">
        <x:v>上振れ</x:v>
      </x:c>
      <x:c r="B615" s="20" t="n">
        <x:v>11</x:v>
      </x:c>
      <x:c r="C615" s="20" t="n">
        <x:v>11</x:v>
      </x:c>
      <x:c r="D615" s="189" t="n">
        <x:v>1.1</x:v>
      </x:c>
      <x:c r="E615" s="189" t="n">
        <x:v>0.9</x:v>
      </x:c>
      <x:c r="F615" s="189" t="n">
        <x:f>MAX(MIN('詳細設定'!$D$15+0.05,1),0)</x:f>
        <x:v>0.45</x:v>
      </x:c>
      <x:c r="G615" s="563" t="n">
        <x:f>'_計算月次'!$J$15</x:f>
        <x:v>398.45169764745054</x:v>
      </x:c>
      <x:c r="H615" s="563" t="n">
        <x:f>'_計算月次'!$K$15</x:f>
        <x:v>360</x:v>
      </x:c>
      <x:c r="I615" s="563" t="n">
        <x:f>(1-MAX(MIN('詳細設定'!$D$16,0.999999),0))^(B615-1)</x:f>
        <x:v>1</x:v>
      </x:c>
      <x:c r="J615" s="563" t="n">
        <x:f>MAX(G615*D615*I615,0)</x:f>
        <x:v>438.29686741219564</x:v>
      </x:c>
      <x:c r="K615" s="563" t="n">
        <x:f>MAX(MIN(J615*F615,H615),0)</x:f>
        <x:v>197.23359033548803</x:v>
      </x:c>
      <x:c r="L615" s="563" t="n">
        <x:f>MAX(J615-K615,0)</x:f>
        <x:v>241.0632770767076</x:v>
      </x:c>
      <x:c r="M615" s="185" t="n">
        <x:f>MAX('詳細設定'!$D$6,0)*(1+'詳細設定'!$D$21)^(B615-1)</x:f>
        <x:v>38.66177438939216</x:v>
      </x:c>
      <x:c r="N615" s="185" t="n">
        <x:f>IF(B615&lt;=MAX(MIN('詳細設定'!$D$8,20),0),MAX('詳細設定'!$D$7,0),IF(B615&lt;=MAX(MIN('詳細設定'!$D$10,20),0),MAX('詳細設定'!$D$9,0),MAX('詳細設定'!$D$11,0)))</x:f>
        <x:v>8.3</x:v>
      </x:c>
      <x:c r="O615" s="190" t="n">
        <x:f>K615*M615</x:f>
        <x:v>7625.400571560435</x:v>
      </x:c>
      <x:c r="P615" s="190" t="n">
        <x:f>L615*N615</x:f>
        <x:v>2000.8251997366733</x:v>
      </x:c>
      <x:c r="Q615" s="190" t="n">
        <x:f>O615+P615</x:f>
        <x:v>9626.225771297108</x:v>
      </x:c>
      <x:c r="R615" s="196" t="n">
        <x:f>J615-K615-L615</x:f>
        <x:v>0</x:v>
      </x:c>
    </x:row>
    <x:row r="616">
      <x:c r="A616" s="20" t="str">
        <x:v>上振れ</x:v>
      </x:c>
      <x:c r="B616" s="20" t="n">
        <x:v>11</x:v>
      </x:c>
      <x:c r="C616" s="20" t="n">
        <x:v>12</x:v>
      </x:c>
      <x:c r="D616" s="189" t="n">
        <x:v>1.1</x:v>
      </x:c>
      <x:c r="E616" s="189" t="n">
        <x:v>0.9</x:v>
      </x:c>
      <x:c r="F616" s="189" t="n">
        <x:f>MAX(MIN('詳細設定'!$D$15+0.05,1),0)</x:f>
        <x:v>0.45</x:v>
      </x:c>
      <x:c r="G616" s="563" t="n">
        <x:f>'_計算月次'!$J$16</x:f>
        <x:v>443.97248688000184</x:v>
      </x:c>
      <x:c r="H616" s="563" t="n">
        <x:f>'_計算月次'!$K$16</x:f>
        <x:v>405</x:v>
      </x:c>
      <x:c r="I616" s="563" t="n">
        <x:f>(1-MAX(MIN('詳細設定'!$D$16,0.999999),0))^(B616-1)</x:f>
        <x:v>1</x:v>
      </x:c>
      <x:c r="J616" s="563" t="n">
        <x:f>MAX(G616*D616*I616,0)</x:f>
        <x:v>488.36973556800206</x:v>
      </x:c>
      <x:c r="K616" s="563" t="n">
        <x:f>MAX(MIN(J616*F616,H616),0)</x:f>
        <x:v>219.76638100560092</x:v>
      </x:c>
      <x:c r="L616" s="563" t="n">
        <x:f>MAX(J616-K616,0)</x:f>
        <x:v>268.60335456240114</x:v>
      </x:c>
      <x:c r="M616" s="185" t="n">
        <x:f>MAX('詳細設定'!$D$6,0)*(1+'詳細設定'!$D$21)^(B616-1)</x:f>
        <x:v>38.66177438939216</x:v>
      </x:c>
      <x:c r="N616" s="185" t="n">
        <x:f>IF(B616&lt;=MAX(MIN('詳細設定'!$D$8,20),0),MAX('詳細設定'!$D$7,0),IF(B616&lt;=MAX(MIN('詳細設定'!$D$10,20),0),MAX('詳細設定'!$D$9,0),MAX('詳細設定'!$D$11,0)))</x:f>
        <x:v>8.3</x:v>
      </x:c>
      <x:c r="O616" s="190" t="n">
        <x:f>K616*M616</x:f>
        <x:v>8496.55824081174</x:v>
      </x:c>
      <x:c r="P616" s="190" t="n">
        <x:f>L616*N616</x:f>
        <x:v>2229.4078428679295</x:v>
      </x:c>
      <x:c r="Q616" s="190" t="n">
        <x:f>O616+P616</x:f>
        <x:v>10725.96608367967</x:v>
      </x:c>
      <x:c r="R616" s="196" t="n">
        <x:f>J616-K616-L616</x:f>
        <x:v>0</x:v>
      </x:c>
    </x:row>
    <x:row r="617">
      <x:c r="A617" s="20" t="str">
        <x:v>上振れ</x:v>
      </x:c>
      <x:c r="B617" s="20" t="n">
        <x:v>12</x:v>
      </x:c>
      <x:c r="C617" s="20" t="n">
        <x:v>1</x:v>
      </x:c>
      <x:c r="D617" s="189" t="n">
        <x:v>1.1</x:v>
      </x:c>
      <x:c r="E617" s="189" t="n">
        <x:v>0.9</x:v>
      </x:c>
      <x:c r="F617" s="189" t="n">
        <x:f>MAX(MIN('詳細設定'!$D$15+0.05,1),0)</x:f>
        <x:v>0.45</x:v>
      </x:c>
      <x:c r="G617" s="563" t="n">
        <x:f>'_計算月次'!$J$5</x:f>
        <x:v>502.4147595742038</x:v>
      </x:c>
      <x:c r="H617" s="563" t="n">
        <x:f>'_計算月次'!$K$5</x:f>
        <x:v>450</x:v>
      </x:c>
      <x:c r="I617" s="563" t="n">
        <x:f>(1-MAX(MIN('詳細設定'!$D$16,0.999999),0))^(B617-1)</x:f>
        <x:v>1</x:v>
      </x:c>
      <x:c r="J617" s="563" t="n">
        <x:f>MAX(G617*D617*I617,0)</x:f>
        <x:v>552.6562355316242</x:v>
      </x:c>
      <x:c r="K617" s="563" t="n">
        <x:f>MAX(MIN(J617*F617,H617),0)</x:f>
        <x:v>248.69530598923092</x:v>
      </x:c>
      <x:c r="L617" s="563" t="n">
        <x:f>MAX(J617-K617,0)</x:f>
        <x:v>303.96092954239333</x:v>
      </x:c>
      <x:c r="M617" s="185" t="n">
        <x:f>MAX('詳細設定'!$D$6,0)*(1+'詳細設定'!$D$21)^(B617-1)</x:f>
        <x:v>39.04839213328608</x:v>
      </x:c>
      <x:c r="N617" s="185" t="n">
        <x:f>IF(B617&lt;=MAX(MIN('詳細設定'!$D$8,20),0),MAX('詳細設定'!$D$7,0),IF(B617&lt;=MAX(MIN('詳細設定'!$D$10,20),0),MAX('詳細設定'!$D$9,0),MAX('詳細設定'!$D$11,0)))</x:f>
        <x:v>8.3</x:v>
      </x:c>
      <x:c r="O617" s="190" t="n">
        <x:f>K617*M617</x:f>
        <x:v>9711.151829975059</x:v>
      </x:c>
      <x:c r="P617" s="190" t="n">
        <x:f>L617*N617</x:f>
        <x:v>2522.8757152018648</x:v>
      </x:c>
      <x:c r="Q617" s="190" t="n">
        <x:f>O617+P617</x:f>
        <x:v>12234.027545176923</x:v>
      </x:c>
      <x:c r="R617" s="196" t="n">
        <x:f>J617-K617-L617</x:f>
        <x:v>0</x:v>
      </x:c>
    </x:row>
    <x:row r="618">
      <x:c r="A618" s="20" t="str">
        <x:v>上振れ</x:v>
      </x:c>
      <x:c r="B618" s="20" t="n">
        <x:v>12</x:v>
      </x:c>
      <x:c r="C618" s="20" t="n">
        <x:v>2</x:v>
      </x:c>
      <x:c r="D618" s="189" t="n">
        <x:v>1.1</x:v>
      </x:c>
      <x:c r="E618" s="189" t="n">
        <x:v>0.9</x:v>
      </x:c>
      <x:c r="F618" s="189" t="n">
        <x:f>MAX(MIN('詳細設定'!$D$15+0.05,1),0)</x:f>
        <x:v>0.45</x:v>
      </x:c>
      <x:c r="G618" s="563" t="n">
        <x:f>'_計算月次'!$J$6</x:f>
        <x:v>472.4508339500229</x:v>
      </x:c>
      <x:c r="H618" s="563" t="n">
        <x:f>'_計算月次'!$K$6</x:f>
        <x:v>405</x:v>
      </x:c>
      <x:c r="I618" s="563" t="n">
        <x:f>(1-MAX(MIN('詳細設定'!$D$16,0.999999),0))^(B618-1)</x:f>
        <x:v>1</x:v>
      </x:c>
      <x:c r="J618" s="563" t="n">
        <x:f>MAX(G618*D618*I618,0)</x:f>
        <x:v>519.6959173450252</x:v>
      </x:c>
      <x:c r="K618" s="563" t="n">
        <x:f>MAX(MIN(J618*F618,H618),0)</x:f>
        <x:v>233.86316280526137</x:v>
      </x:c>
      <x:c r="L618" s="563" t="n">
        <x:f>MAX(J618-K618,0)</x:f>
        <x:v>285.83275453976387</x:v>
      </x:c>
      <x:c r="M618" s="185" t="n">
        <x:f>MAX('詳細設定'!$D$6,0)*(1+'詳細設定'!$D$21)^(B618-1)</x:f>
        <x:v>39.04839213328608</x:v>
      </x:c>
      <x:c r="N618" s="185" t="n">
        <x:f>IF(B618&lt;=MAX(MIN('詳細設定'!$D$8,20),0),MAX('詳細設定'!$D$7,0),IF(B618&lt;=MAX(MIN('詳細設定'!$D$10,20),0),MAX('詳細設定'!$D$9,0),MAX('詳細設定'!$D$11,0)))</x:f>
        <x:v>8.3</x:v>
      </x:c>
      <x:c r="O618" s="190" t="n">
        <x:f>K618*M618</x:f>
        <x:v>9131.98048675037</x:v>
      </x:c>
      <x:c r="P618" s="190" t="n">
        <x:f>L618*N618</x:f>
        <x:v>2372.4118626800405</x:v>
      </x:c>
      <x:c r="Q618" s="190" t="n">
        <x:f>O618+P618</x:f>
        <x:v>11504.39234943041</x:v>
      </x:c>
      <x:c r="R618" s="196" t="n">
        <x:f>J618-K618-L618</x:f>
        <x:v>0</x:v>
      </x:c>
    </x:row>
    <x:row r="619">
      <x:c r="A619" s="20" t="str">
        <x:v>上振れ</x:v>
      </x:c>
      <x:c r="B619" s="20" t="n">
        <x:v>12</x:v>
      </x:c>
      <x:c r="C619" s="20" t="n">
        <x:v>3</x:v>
      </x:c>
      <x:c r="D619" s="189" t="n">
        <x:v>1.1</x:v>
      </x:c>
      <x:c r="E619" s="189" t="n">
        <x:v>0.9</x:v>
      </x:c>
      <x:c r="F619" s="189" t="n">
        <x:f>MAX(MIN('詳細設定'!$D$15+0.05,1),0)</x:f>
        <x:v>0.45</x:v>
      </x:c>
      <x:c r="G619" s="563" t="n">
        <x:f>'_計算月次'!$J$7</x:f>
        <x:v>548.3418864753118</x:v>
      </x:c>
      <x:c r="H619" s="563" t="n">
        <x:f>'_計算月次'!$K$7</x:f>
        <x:v>360</x:v>
      </x:c>
      <x:c r="I619" s="563" t="n">
        <x:f>(1-MAX(MIN('詳細設定'!$D$16,0.999999),0))^(B619-1)</x:f>
        <x:v>1</x:v>
      </x:c>
      <x:c r="J619" s="563" t="n">
        <x:f>MAX(G619*D619*I619,0)</x:f>
        <x:v>603.176075122843</x:v>
      </x:c>
      <x:c r="K619" s="563" t="n">
        <x:f>MAX(MIN(J619*F619,H619),0)</x:f>
        <x:v>271.42923380527935</x:v>
      </x:c>
      <x:c r="L619" s="563" t="n">
        <x:f>MAX(J619-K619,0)</x:f>
        <x:v>331.7468413175637</x:v>
      </x:c>
      <x:c r="M619" s="185" t="n">
        <x:f>MAX('詳細設定'!$D$6,0)*(1+'詳細設定'!$D$21)^(B619-1)</x:f>
        <x:v>39.04839213328608</x:v>
      </x:c>
      <x:c r="N619" s="185" t="n">
        <x:f>IF(B619&lt;=MAX(MIN('詳細設定'!$D$8,20),0),MAX('詳細設定'!$D$7,0),IF(B619&lt;=MAX(MIN('詳細設定'!$D$10,20),0),MAX('詳細設定'!$D$9,0),MAX('詳細設定'!$D$11,0)))</x:f>
        <x:v>8.3</x:v>
      </x:c>
      <x:c r="O619" s="190" t="n">
        <x:f>K619*M619</x:f>
        <x:v>10598.875158065937</x:v>
      </x:c>
      <x:c r="P619" s="190" t="n">
        <x:f>L619*N619</x:f>
        <x:v>2753.4987829357788</x:v>
      </x:c>
      <x:c r="Q619" s="190" t="n">
        <x:f>O619+P619</x:f>
        <x:v>13352.373941001715</x:v>
      </x:c>
      <x:c r="R619" s="196" t="n">
        <x:f>J619-K619-L619</x:f>
        <x:v>0</x:v>
      </x:c>
    </x:row>
    <x:row r="620">
      <x:c r="A620" s="20" t="str">
        <x:v>上振れ</x:v>
      </x:c>
      <x:c r="B620" s="20" t="n">
        <x:v>12</x:v>
      </x:c>
      <x:c r="C620" s="20" t="n">
        <x:v>4</x:v>
      </x:c>
      <x:c r="D620" s="189" t="n">
        <x:v>1.1</x:v>
      </x:c>
      <x:c r="E620" s="189" t="n">
        <x:v>0.9</x:v>
      </x:c>
      <x:c r="F620" s="189" t="n">
        <x:f>MAX(MIN('詳細設定'!$D$15+0.05,1),0)</x:f>
        <x:v>0.45</x:v>
      </x:c>
      <x:c r="G620" s="563" t="n">
        <x:f>'_計算月次'!$J$8</x:f>
        <x:v>548.3944393749554</x:v>
      </x:c>
      <x:c r="H620" s="563" t="n">
        <x:f>'_計算月次'!$K$8</x:f>
        <x:v>315.00000000000006</x:v>
      </x:c>
      <x:c r="I620" s="563" t="n">
        <x:f>(1-MAX(MIN('詳細設定'!$D$16,0.999999),0))^(B620-1)</x:f>
        <x:v>1</x:v>
      </x:c>
      <x:c r="J620" s="563" t="n">
        <x:f>MAX(G620*D620*I620,0)</x:f>
        <x:v>603.233883312451</x:v>
      </x:c>
      <x:c r="K620" s="563" t="n">
        <x:f>MAX(MIN(J620*F620,H620),0)</x:f>
        <x:v>271.45524749060297</x:v>
      </x:c>
      <x:c r="L620" s="563" t="n">
        <x:f>MAX(J620-K620,0)</x:f>
        <x:v>331.778635821848</x:v>
      </x:c>
      <x:c r="M620" s="185" t="n">
        <x:f>MAX('詳細設定'!$D$6,0)*(1+'詳細設定'!$D$21)^(B620-1)</x:f>
        <x:v>39.04839213328608</x:v>
      </x:c>
      <x:c r="N620" s="185" t="n">
        <x:f>IF(B620&lt;=MAX(MIN('詳細設定'!$D$8,20),0),MAX('詳細設定'!$D$7,0),IF(B620&lt;=MAX(MIN('詳細設定'!$D$10,20),0),MAX('詳細設定'!$D$9,0),MAX('詳細設定'!$D$11,0)))</x:f>
        <x:v>8.3</x:v>
      </x:c>
      <x:c r="O620" s="190" t="n">
        <x:f>K620*M620</x:f>
        <x:v>10599.890950651286</x:v>
      </x:c>
      <x:c r="P620" s="190" t="n">
        <x:f>L620*N620</x:f>
        <x:v>2753.7626773213387</x:v>
      </x:c>
      <x:c r="Q620" s="190" t="n">
        <x:f>O620+P620</x:f>
        <x:v>13353.653627972624</x:v>
      </x:c>
      <x:c r="R620" s="196" t="n">
        <x:f>J620-K620-L620</x:f>
        <x:v>0</x:v>
      </x:c>
    </x:row>
    <x:row r="621">
      <x:c r="A621" s="20" t="str">
        <x:v>上振れ</x:v>
      </x:c>
      <x:c r="B621" s="20" t="n">
        <x:v>12</x:v>
      </x:c>
      <x:c r="C621" s="20" t="n">
        <x:v>5</x:v>
      </x:c>
      <x:c r="D621" s="189" t="n">
        <x:v>1.1</x:v>
      </x:c>
      <x:c r="E621" s="189" t="n">
        <x:v>0.9</x:v>
      </x:c>
      <x:c r="F621" s="189" t="n">
        <x:f>MAX(MIN('詳細設定'!$D$15+0.05,1),0)</x:f>
        <x:v>0.45</x:v>
      </x:c>
      <x:c r="G621" s="563" t="n">
        <x:f>'_計算月次'!$J$9</x:f>
        <x:v>552.2367574934775</x:v>
      </x:c>
      <x:c r="H621" s="563" t="n">
        <x:f>'_計算月次'!$K$9</x:f>
        <x:v>315.00000000000006</x:v>
      </x:c>
      <x:c r="I621" s="563" t="n">
        <x:f>(1-MAX(MIN('詳細設定'!$D$16,0.999999),0))^(B621-1)</x:f>
        <x:v>1</x:v>
      </x:c>
      <x:c r="J621" s="563" t="n">
        <x:f>MAX(G621*D621*I621,0)</x:f>
        <x:v>607.4604332428253</x:v>
      </x:c>
      <x:c r="K621" s="563" t="n">
        <x:f>MAX(MIN(J621*F621,H621),0)</x:f>
        <x:v>273.3571949592714</x:v>
      </x:c>
      <x:c r="L621" s="563" t="n">
        <x:f>MAX(J621-K621,0)</x:f>
        <x:v>334.1032382835539</x:v>
      </x:c>
      <x:c r="M621" s="185" t="n">
        <x:f>MAX('詳細設定'!$D$6,0)*(1+'詳細設定'!$D$21)^(B621-1)</x:f>
        <x:v>39.04839213328608</x:v>
      </x:c>
      <x:c r="N621" s="185" t="n">
        <x:f>IF(B621&lt;=MAX(MIN('詳細設定'!$D$8,20),0),MAX('詳細設定'!$D$7,0),IF(B621&lt;=MAX(MIN('詳細設定'!$D$10,20),0),MAX('詳細設定'!$D$9,0),MAX('詳細設定'!$D$11,0)))</x:f>
        <x:v>8.3</x:v>
      </x:c>
      <x:c r="O621" s="190" t="n">
        <x:f>K621*M621</x:f>
        <x:v>10674.158941224761</x:v>
      </x:c>
      <x:c r="P621" s="190" t="n">
        <x:f>L621*N621</x:f>
        <x:v>2773.0568777534972</x:v>
      </x:c>
      <x:c r="Q621" s="190" t="n">
        <x:f>O621+P621</x:f>
        <x:v>13447.215818978259</x:v>
      </x:c>
      <x:c r="R621" s="196" t="n">
        <x:f>J621-K621-L621</x:f>
        <x:v>0</x:v>
      </x:c>
    </x:row>
    <x:row r="622">
      <x:c r="A622" s="20" t="str">
        <x:v>上振れ</x:v>
      </x:c>
      <x:c r="B622" s="20" t="n">
        <x:v>12</x:v>
      </x:c>
      <x:c r="C622" s="20" t="n">
        <x:v>6</x:v>
      </x:c>
      <x:c r="D622" s="189" t="n">
        <x:v>1.1</x:v>
      </x:c>
      <x:c r="E622" s="189" t="n">
        <x:v>0.9</x:v>
      </x:c>
      <x:c r="F622" s="189" t="n">
        <x:f>MAX(MIN('詳細設定'!$D$15+0.05,1),0)</x:f>
        <x:v>0.45</x:v>
      </x:c>
      <x:c r="G622" s="563" t="n">
        <x:f>'_計算月次'!$J$10</x:f>
        <x:v>448.7994857612148</x:v>
      </x:c>
      <x:c r="H622" s="563" t="n">
        <x:f>'_計算月次'!$K$10</x:f>
        <x:v>360</x:v>
      </x:c>
      <x:c r="I622" s="563" t="n">
        <x:f>(1-MAX(MIN('詳細設定'!$D$16,0.999999),0))^(B622-1)</x:f>
        <x:v>1</x:v>
      </x:c>
      <x:c r="J622" s="563" t="n">
        <x:f>MAX(G622*D622*I622,0)</x:f>
        <x:v>493.6794343373363</x:v>
      </x:c>
      <x:c r="K622" s="563" t="n">
        <x:f>MAX(MIN(J622*F622,H622),0)</x:f>
        <x:v>222.15574545180135</x:v>
      </x:c>
      <x:c r="L622" s="563" t="n">
        <x:f>MAX(J622-K622,0)</x:f>
        <x:v>271.52368888553497</x:v>
      </x:c>
      <x:c r="M622" s="185" t="n">
        <x:f>MAX('詳細設定'!$D$6,0)*(1+'詳細設定'!$D$21)^(B622-1)</x:f>
        <x:v>39.04839213328608</x:v>
      </x:c>
      <x:c r="N622" s="185" t="n">
        <x:f>IF(B622&lt;=MAX(MIN('詳細設定'!$D$8,20),0),MAX('詳細設定'!$D$7,0),IF(B622&lt;=MAX(MIN('詳細設定'!$D$10,20),0),MAX('詳細設定'!$D$9,0),MAX('詳細設定'!$D$11,0)))</x:f>
        <x:v>8.3</x:v>
      </x:c>
      <x:c r="O622" s="190" t="n">
        <x:f>K622*M622</x:f>
        <x:v>8674.824663064424</x:v>
      </x:c>
      <x:c r="P622" s="190" t="n">
        <x:f>L622*N622</x:f>
        <x:v>2253.6466177499406</x:v>
      </x:c>
      <x:c r="Q622" s="190" t="n">
        <x:f>O622+P622</x:f>
        <x:v>10928.471280814365</x:v>
      </x:c>
      <x:c r="R622" s="196" t="n">
        <x:f>J622-K622-L622</x:f>
        <x:v>0</x:v>
      </x:c>
    </x:row>
    <x:row r="623">
      <x:c r="A623" s="20" t="str">
        <x:v>上振れ</x:v>
      </x:c>
      <x:c r="B623" s="20" t="n">
        <x:v>12</x:v>
      </x:c>
      <x:c r="C623" s="20" t="n">
        <x:v>7</x:v>
      </x:c>
      <x:c r="D623" s="189" t="n">
        <x:v>1.1</x:v>
      </x:c>
      <x:c r="E623" s="189" t="n">
        <x:v>0.9</x:v>
      </x:c>
      <x:c r="F623" s="189" t="n">
        <x:f>MAX(MIN('詳細設定'!$D$15+0.05,1),0)</x:f>
        <x:v>0.45</x:v>
      </x:c>
      <x:c r="G623" s="563" t="n">
        <x:f>'_計算月次'!$J$11</x:f>
        <x:v>476.0181638067866</x:v>
      </x:c>
      <x:c r="H623" s="563" t="n">
        <x:f>'_計算月次'!$K$11</x:f>
        <x:v>405</x:v>
      </x:c>
      <x:c r="I623" s="563" t="n">
        <x:f>(1-MAX(MIN('詳細設定'!$D$16,0.999999),0))^(B623-1)</x:f>
        <x:v>1</x:v>
      </x:c>
      <x:c r="J623" s="563" t="n">
        <x:f>MAX(G623*D623*I623,0)</x:f>
        <x:v>523.6199801874653</x:v>
      </x:c>
      <x:c r="K623" s="563" t="n">
        <x:f>MAX(MIN(J623*F623,H623),0)</x:f>
        <x:v>235.6289910843594</x:v>
      </x:c>
      <x:c r="L623" s="563" t="n">
        <x:f>MAX(J623-K623,0)</x:f>
        <x:v>287.9909891031059</x:v>
      </x:c>
      <x:c r="M623" s="185" t="n">
        <x:f>MAX('詳細設定'!$D$6,0)*(1+'詳細設定'!$D$21)^(B623-1)</x:f>
        <x:v>39.04839213328608</x:v>
      </x:c>
      <x:c r="N623" s="185" t="n">
        <x:f>IF(B623&lt;=MAX(MIN('詳細設定'!$D$8,20),0),MAX('詳細設定'!$D$7,0),IF(B623&lt;=MAX(MIN('詳細設定'!$D$10,20),0),MAX('詳細設定'!$D$9,0),MAX('詳細設定'!$D$11,0)))</x:f>
        <x:v>8.3</x:v>
      </x:c>
      <x:c r="O623" s="190" t="n">
        <x:f>K623*M623</x:f>
        <x:v>9200.933241832636</x:v>
      </x:c>
      <x:c r="P623" s="190" t="n">
        <x:f>L623*N623</x:f>
        <x:v>2390.325209555779</x:v>
      </x:c>
      <x:c r="Q623" s="190" t="n">
        <x:f>O623+P623</x:f>
        <x:v>11591.258451388414</x:v>
      </x:c>
      <x:c r="R623" s="196" t="n">
        <x:f>J623-K623-L623</x:f>
        <x:v>0</x:v>
      </x:c>
    </x:row>
    <x:row r="624">
      <x:c r="A624" s="20" t="str">
        <x:v>上振れ</x:v>
      </x:c>
      <x:c r="B624" s="20" t="n">
        <x:v>12</x:v>
      </x:c>
      <x:c r="C624" s="20" t="n">
        <x:v>8</x:v>
      </x:c>
      <x:c r="D624" s="189" t="n">
        <x:v>1.1</x:v>
      </x:c>
      <x:c r="E624" s="189" t="n">
        <x:v>0.9</x:v>
      </x:c>
      <x:c r="F624" s="189" t="n">
        <x:f>MAX(MIN('詳細設定'!$D$15+0.05,1),0)</x:f>
        <x:v>0.45</x:v>
      </x:c>
      <x:c r="G624" s="563" t="n">
        <x:f>'_計算月次'!$J$12</x:f>
        <x:v>528.6548067323699</x:v>
      </x:c>
      <x:c r="H624" s="563" t="n">
        <x:f>'_計算月次'!$K$12</x:f>
        <x:v>450</x:v>
      </x:c>
      <x:c r="I624" s="563" t="n">
        <x:f>(1-MAX(MIN('詳細設定'!$D$16,0.999999),0))^(B624-1)</x:f>
        <x:v>1</x:v>
      </x:c>
      <x:c r="J624" s="563" t="n">
        <x:f>MAX(G624*D624*I624,0)</x:f>
        <x:v>581.520287405607</x:v>
      </x:c>
      <x:c r="K624" s="563" t="n">
        <x:f>MAX(MIN(J624*F624,H624),0)</x:f>
        <x:v>261.6841293325231</x:v>
      </x:c>
      <x:c r="L624" s="563" t="n">
        <x:f>MAX(J624-K624,0)</x:f>
        <x:v>319.8361580730838</x:v>
      </x:c>
      <x:c r="M624" s="185" t="n">
        <x:f>MAX('詳細設定'!$D$6,0)*(1+'詳細設定'!$D$21)^(B624-1)</x:f>
        <x:v>39.04839213328608</x:v>
      </x:c>
      <x:c r="N624" s="185" t="n">
        <x:f>IF(B624&lt;=MAX(MIN('詳細設定'!$D$8,20),0),MAX('詳細設定'!$D$7,0),IF(B624&lt;=MAX(MIN('詳細設定'!$D$10,20),0),MAX('詳細設定'!$D$9,0),MAX('詳細設定'!$D$11,0)))</x:f>
        <x:v>8.3</x:v>
      </x:c>
      <x:c r="O624" s="190" t="n">
        <x:f>K624*M624</x:f>
        <x:v>10218.344497233913</x:v>
      </x:c>
      <x:c r="P624" s="190" t="n">
        <x:f>L624*N624</x:f>
        <x:v>2654.640112006596</x:v>
      </x:c>
      <x:c r="Q624" s="190" t="n">
        <x:f>O624+P624</x:f>
        <x:v>12872.98460924051</x:v>
      </x:c>
      <x:c r="R624" s="196" t="n">
        <x:f>J624-K624-L624</x:f>
        <x:v>0</x:v>
      </x:c>
    </x:row>
    <x:row r="625">
      <x:c r="A625" s="20" t="str">
        <x:v>上振れ</x:v>
      </x:c>
      <x:c r="B625" s="20" t="n">
        <x:v>12</x:v>
      </x:c>
      <x:c r="C625" s="20" t="n">
        <x:v>9</x:v>
      </x:c>
      <x:c r="D625" s="189" t="n">
        <x:v>1.1</x:v>
      </x:c>
      <x:c r="E625" s="189" t="n">
        <x:v>0.9</x:v>
      </x:c>
      <x:c r="F625" s="189" t="n">
        <x:f>MAX(MIN('詳細設定'!$D$15+0.05,1),0)</x:f>
        <x:v>0.45</x:v>
      </x:c>
      <x:c r="G625" s="563" t="n">
        <x:f>'_計算月次'!$J$13</x:f>
        <x:v>436.37734765103465</x:v>
      </x:c>
      <x:c r="H625" s="563" t="n">
        <x:f>'_計算月次'!$K$13</x:f>
        <x:v>360</x:v>
      </x:c>
      <x:c r="I625" s="563" t="n">
        <x:f>(1-MAX(MIN('詳細設定'!$D$16,0.999999),0))^(B625-1)</x:f>
        <x:v>1</x:v>
      </x:c>
      <x:c r="J625" s="563" t="n">
        <x:f>MAX(G625*D625*I625,0)</x:f>
        <x:v>480.01508241613817</x:v>
      </x:c>
      <x:c r="K625" s="563" t="n">
        <x:f>MAX(MIN(J625*F625,H625),0)</x:f>
        <x:v>216.00678708726218</x:v>
      </x:c>
      <x:c r="L625" s="563" t="n">
        <x:f>MAX(J625-K625,0)</x:f>
        <x:v>264.008295328876</x:v>
      </x:c>
      <x:c r="M625" s="185" t="n">
        <x:f>MAX('詳細設定'!$D$6,0)*(1+'詳細設定'!$D$21)^(B625-1)</x:f>
        <x:v>39.04839213328608</x:v>
      </x:c>
      <x:c r="N625" s="185" t="n">
        <x:f>IF(B625&lt;=MAX(MIN('詳細設定'!$D$8,20),0),MAX('詳細設定'!$D$7,0),IF(B625&lt;=MAX(MIN('詳細設定'!$D$10,20),0),MAX('詳細設定'!$D$9,0),MAX('詳細設定'!$D$11,0)))</x:f>
        <x:v>8.3</x:v>
      </x:c>
      <x:c r="O625" s="190" t="n">
        <x:f>K625*M625</x:f>
        <x:v>8434.71772563465</x:v>
      </x:c>
      <x:c r="P625" s="190" t="n">
        <x:f>L625*N625</x:f>
        <x:v>2191.268851229671</x:v>
      </x:c>
      <x:c r="Q625" s="190" t="n">
        <x:f>O625+P625</x:f>
        <x:v>10625.986576864321</x:v>
      </x:c>
      <x:c r="R625" s="196" t="n">
        <x:f>J625-K625-L625</x:f>
        <x:v>0</x:v>
      </x:c>
    </x:row>
    <x:row r="626">
      <x:c r="A626" s="20" t="str">
        <x:v>上振れ</x:v>
      </x:c>
      <x:c r="B626" s="20" t="n">
        <x:v>12</x:v>
      </x:c>
      <x:c r="C626" s="20" t="n">
        <x:v>10</x:v>
      </x:c>
      <x:c r="D626" s="189" t="n">
        <x:v>1.1</x:v>
      </x:c>
      <x:c r="E626" s="189" t="n">
        <x:v>0.9</x:v>
      </x:c>
      <x:c r="F626" s="189" t="n">
        <x:f>MAX(MIN('詳細設定'!$D$15+0.05,1),0)</x:f>
        <x:v>0.45</x:v>
      </x:c>
      <x:c r="G626" s="563" t="n">
        <x:f>'_計算月次'!$J$14</x:f>
        <x:v>408.8269849869007</x:v>
      </x:c>
      <x:c r="H626" s="563" t="n">
        <x:f>'_計算月次'!$K$14</x:f>
        <x:v>315.00000000000006</x:v>
      </x:c>
      <x:c r="I626" s="563" t="n">
        <x:f>(1-MAX(MIN('詳細設定'!$D$16,0.999999),0))^(B626-1)</x:f>
        <x:v>1</x:v>
      </x:c>
      <x:c r="J626" s="563" t="n">
        <x:f>MAX(G626*D626*I626,0)</x:f>
        <x:v>449.7096834855908</x:v>
      </x:c>
      <x:c r="K626" s="563" t="n">
        <x:f>MAX(MIN(J626*F626,H626),0)</x:f>
        <x:v>202.36935756851585</x:v>
      </x:c>
      <x:c r="L626" s="563" t="n">
        <x:f>MAX(J626-K626,0)</x:f>
        <x:v>247.34032591707495</x:v>
      </x:c>
      <x:c r="M626" s="185" t="n">
        <x:f>MAX('詳細設定'!$D$6,0)*(1+'詳細設定'!$D$21)^(B626-1)</x:f>
        <x:v>39.04839213328608</x:v>
      </x:c>
      <x:c r="N626" s="185" t="n">
        <x:f>IF(B626&lt;=MAX(MIN('詳細設定'!$D$8,20),0),MAX('詳細設定'!$D$7,0),IF(B626&lt;=MAX(MIN('詳細設定'!$D$10,20),0),MAX('詳細設定'!$D$9,0),MAX('詳細設定'!$D$11,0)))</x:f>
        <x:v>8.3</x:v>
      </x:c>
      <x:c r="O626" s="190" t="n">
        <x:f>K626*M626</x:f>
        <x:v>7902.198030096592</x:v>
      </x:c>
      <x:c r="P626" s="190" t="n">
        <x:f>L626*N626</x:f>
        <x:v>2052.9247051117222</x:v>
      </x:c>
      <x:c r="Q626" s="190" t="n">
        <x:f>O626+P626</x:f>
        <x:v>9955.122735208315</x:v>
      </x:c>
      <x:c r="R626" s="196" t="n">
        <x:f>J626-K626-L626</x:f>
        <x:v>0</x:v>
      </x:c>
    </x:row>
    <x:row r="627">
      <x:c r="A627" s="20" t="str">
        <x:v>上振れ</x:v>
      </x:c>
      <x:c r="B627" s="20" t="n">
        <x:v>12</x:v>
      </x:c>
      <x:c r="C627" s="20" t="n">
        <x:v>11</x:v>
      </x:c>
      <x:c r="D627" s="189" t="n">
        <x:v>1.1</x:v>
      </x:c>
      <x:c r="E627" s="189" t="n">
        <x:v>0.9</x:v>
      </x:c>
      <x:c r="F627" s="189" t="n">
        <x:f>MAX(MIN('詳細設定'!$D$15+0.05,1),0)</x:f>
        <x:v>0.45</x:v>
      </x:c>
      <x:c r="G627" s="563" t="n">
        <x:f>'_計算月次'!$J$15</x:f>
        <x:v>398.45169764745054</x:v>
      </x:c>
      <x:c r="H627" s="563" t="n">
        <x:f>'_計算月次'!$K$15</x:f>
        <x:v>360</x:v>
      </x:c>
      <x:c r="I627" s="563" t="n">
        <x:f>(1-MAX(MIN('詳細設定'!$D$16,0.999999),0))^(B627-1)</x:f>
        <x:v>1</x:v>
      </x:c>
      <x:c r="J627" s="563" t="n">
        <x:f>MAX(G627*D627*I627,0)</x:f>
        <x:v>438.29686741219564</x:v>
      </x:c>
      <x:c r="K627" s="563" t="n">
        <x:f>MAX(MIN(J627*F627,H627),0)</x:f>
        <x:v>197.23359033548803</x:v>
      </x:c>
      <x:c r="L627" s="563" t="n">
        <x:f>MAX(J627-K627,0)</x:f>
        <x:v>241.0632770767076</x:v>
      </x:c>
      <x:c r="M627" s="185" t="n">
        <x:f>MAX('詳細設定'!$D$6,0)*(1+'詳細設定'!$D$21)^(B627-1)</x:f>
        <x:v>39.04839213328608</x:v>
      </x:c>
      <x:c r="N627" s="185" t="n">
        <x:f>IF(B627&lt;=MAX(MIN('詳細設定'!$D$8,20),0),MAX('詳細設定'!$D$7,0),IF(B627&lt;=MAX(MIN('詳細設定'!$D$10,20),0),MAX('詳細設定'!$D$9,0),MAX('詳細設定'!$D$11,0)))</x:f>
        <x:v>8.3</x:v>
      </x:c>
      <x:c r="O627" s="190" t="n">
        <x:f>K627*M627</x:f>
        <x:v>7701.65457727604</x:v>
      </x:c>
      <x:c r="P627" s="190" t="n">
        <x:f>L627*N627</x:f>
        <x:v>2000.8251997366733</x:v>
      </x:c>
      <x:c r="Q627" s="190" t="n">
        <x:f>O627+P627</x:f>
        <x:v>9702.479777012713</x:v>
      </x:c>
      <x:c r="R627" s="196" t="n">
        <x:f>J627-K627-L627</x:f>
        <x:v>0</x:v>
      </x:c>
    </x:row>
    <x:row r="628">
      <x:c r="A628" s="20" t="str">
        <x:v>上振れ</x:v>
      </x:c>
      <x:c r="B628" s="20" t="n">
        <x:v>12</x:v>
      </x:c>
      <x:c r="C628" s="20" t="n">
        <x:v>12</x:v>
      </x:c>
      <x:c r="D628" s="189" t="n">
        <x:v>1.1</x:v>
      </x:c>
      <x:c r="E628" s="189" t="n">
        <x:v>0.9</x:v>
      </x:c>
      <x:c r="F628" s="189" t="n">
        <x:f>MAX(MIN('詳細設定'!$D$15+0.05,1),0)</x:f>
        <x:v>0.45</x:v>
      </x:c>
      <x:c r="G628" s="563" t="n">
        <x:f>'_計算月次'!$J$16</x:f>
        <x:v>443.97248688000184</x:v>
      </x:c>
      <x:c r="H628" s="563" t="n">
        <x:f>'_計算月次'!$K$16</x:f>
        <x:v>405</x:v>
      </x:c>
      <x:c r="I628" s="563" t="n">
        <x:f>(1-MAX(MIN('詳細設定'!$D$16,0.999999),0))^(B628-1)</x:f>
        <x:v>1</x:v>
      </x:c>
      <x:c r="J628" s="563" t="n">
        <x:f>MAX(G628*D628*I628,0)</x:f>
        <x:v>488.36973556800206</x:v>
      </x:c>
      <x:c r="K628" s="563" t="n">
        <x:f>MAX(MIN(J628*F628,H628),0)</x:f>
        <x:v>219.76638100560092</x:v>
      </x:c>
      <x:c r="L628" s="563" t="n">
        <x:f>MAX(J628-K628,0)</x:f>
        <x:v>268.60335456240114</x:v>
      </x:c>
      <x:c r="M628" s="185" t="n">
        <x:f>MAX('詳細設定'!$D$6,0)*(1+'詳細設定'!$D$21)^(B628-1)</x:f>
        <x:v>39.04839213328608</x:v>
      </x:c>
      <x:c r="N628" s="185" t="n">
        <x:f>IF(B628&lt;=MAX(MIN('詳細設定'!$D$8,20),0),MAX('詳細設定'!$D$7,0),IF(B628&lt;=MAX(MIN('詳細設定'!$D$10,20),0),MAX('詳細設定'!$D$9,0),MAX('詳細設定'!$D$11,0)))</x:f>
        <x:v>8.3</x:v>
      </x:c>
      <x:c r="O628" s="190" t="n">
        <x:f>K628*M628</x:f>
        <x:v>8581.523823219859</x:v>
      </x:c>
      <x:c r="P628" s="190" t="n">
        <x:f>L628*N628</x:f>
        <x:v>2229.4078428679295</x:v>
      </x:c>
      <x:c r="Q628" s="190" t="n">
        <x:f>O628+P628</x:f>
        <x:v>10810.931666087788</x:v>
      </x:c>
      <x:c r="R628" s="196" t="n">
        <x:f>J628-K628-L628</x:f>
        <x:v>0</x:v>
      </x:c>
    </x:row>
    <x:row r="629">
      <x:c r="A629" s="20" t="str">
        <x:v>上振れ</x:v>
      </x:c>
      <x:c r="B629" s="20" t="n">
        <x:v>13</x:v>
      </x:c>
      <x:c r="C629" s="20" t="n">
        <x:v>1</x:v>
      </x:c>
      <x:c r="D629" s="189" t="n">
        <x:v>1.1</x:v>
      </x:c>
      <x:c r="E629" s="189" t="n">
        <x:v>0.9</x:v>
      </x:c>
      <x:c r="F629" s="189" t="n">
        <x:f>MAX(MIN('詳細設定'!$D$15+0.05,1),0)</x:f>
        <x:v>0.45</x:v>
      </x:c>
      <x:c r="G629" s="563" t="n">
        <x:f>'_計算月次'!$J$5</x:f>
        <x:v>502.4147595742038</x:v>
      </x:c>
      <x:c r="H629" s="563" t="n">
        <x:f>'_計算月次'!$K$5</x:f>
        <x:v>450</x:v>
      </x:c>
      <x:c r="I629" s="563" t="n">
        <x:f>(1-MAX(MIN('詳細設定'!$D$16,0.999999),0))^(B629-1)</x:f>
        <x:v>1</x:v>
      </x:c>
      <x:c r="J629" s="563" t="n">
        <x:f>MAX(G629*D629*I629,0)</x:f>
        <x:v>552.6562355316242</x:v>
      </x:c>
      <x:c r="K629" s="563" t="n">
        <x:f>MAX(MIN(J629*F629,H629),0)</x:f>
        <x:v>248.69530598923092</x:v>
      </x:c>
      <x:c r="L629" s="563" t="n">
        <x:f>MAX(J629-K629,0)</x:f>
        <x:v>303.96092954239333</x:v>
      </x:c>
      <x:c r="M629" s="185" t="n">
        <x:f>MAX('詳細設定'!$D$6,0)*(1+'詳細設定'!$D$21)^(B629-1)</x:f>
        <x:v>39.438876054618945</x:v>
      </x:c>
      <x:c r="N629" s="185" t="n">
        <x:f>IF(B629&lt;=MAX(MIN('詳細設定'!$D$8,20),0),MAX('詳細設定'!$D$7,0),IF(B629&lt;=MAX(MIN('詳細設定'!$D$10,20),0),MAX('詳細設定'!$D$9,0),MAX('詳細設定'!$D$11,0)))</x:f>
        <x:v>8.3</x:v>
      </x:c>
      <x:c r="O629" s="190" t="n">
        <x:f>K629*M629</x:f>
        <x:v>9808.26334827481</x:v>
      </x:c>
      <x:c r="P629" s="190" t="n">
        <x:f>L629*N629</x:f>
        <x:v>2522.8757152018648</x:v>
      </x:c>
      <x:c r="Q629" s="190" t="n">
        <x:f>O629+P629</x:f>
        <x:v>12331.139063476674</x:v>
      </x:c>
      <x:c r="R629" s="196" t="n">
        <x:f>J629-K629-L629</x:f>
        <x:v>0</x:v>
      </x:c>
    </x:row>
    <x:row r="630">
      <x:c r="A630" s="20" t="str">
        <x:v>上振れ</x:v>
      </x:c>
      <x:c r="B630" s="20" t="n">
        <x:v>13</x:v>
      </x:c>
      <x:c r="C630" s="20" t="n">
        <x:v>2</x:v>
      </x:c>
      <x:c r="D630" s="189" t="n">
        <x:v>1.1</x:v>
      </x:c>
      <x:c r="E630" s="189" t="n">
        <x:v>0.9</x:v>
      </x:c>
      <x:c r="F630" s="189" t="n">
        <x:f>MAX(MIN('詳細設定'!$D$15+0.05,1),0)</x:f>
        <x:v>0.45</x:v>
      </x:c>
      <x:c r="G630" s="563" t="n">
        <x:f>'_計算月次'!$J$6</x:f>
        <x:v>472.4508339500229</x:v>
      </x:c>
      <x:c r="H630" s="563" t="n">
        <x:f>'_計算月次'!$K$6</x:f>
        <x:v>405</x:v>
      </x:c>
      <x:c r="I630" s="563" t="n">
        <x:f>(1-MAX(MIN('詳細設定'!$D$16,0.999999),0))^(B630-1)</x:f>
        <x:v>1</x:v>
      </x:c>
      <x:c r="J630" s="563" t="n">
        <x:f>MAX(G630*D630*I630,0)</x:f>
        <x:v>519.6959173450252</x:v>
      </x:c>
      <x:c r="K630" s="563" t="n">
        <x:f>MAX(MIN(J630*F630,H630),0)</x:f>
        <x:v>233.86316280526137</x:v>
      </x:c>
      <x:c r="L630" s="563" t="n">
        <x:f>MAX(J630-K630,0)</x:f>
        <x:v>285.83275453976387</x:v>
      </x:c>
      <x:c r="M630" s="185" t="n">
        <x:f>MAX('詳細設定'!$D$6,0)*(1+'詳細設定'!$D$21)^(B630-1)</x:f>
        <x:v>39.438876054618945</x:v>
      </x:c>
      <x:c r="N630" s="185" t="n">
        <x:f>IF(B630&lt;=MAX(MIN('詳細設定'!$D$8,20),0),MAX('詳細設定'!$D$7,0),IF(B630&lt;=MAX(MIN('詳細設定'!$D$10,20),0),MAX('詳細設定'!$D$9,0),MAX('詳細設定'!$D$11,0)))</x:f>
        <x:v>8.3</x:v>
      </x:c>
      <x:c r="O630" s="190" t="n">
        <x:f>K630*M630</x:f>
        <x:v>9223.300291617874</x:v>
      </x:c>
      <x:c r="P630" s="190" t="n">
        <x:f>L630*N630</x:f>
        <x:v>2372.4118626800405</x:v>
      </x:c>
      <x:c r="Q630" s="190" t="n">
        <x:f>O630+P630</x:f>
        <x:v>11595.712154297915</x:v>
      </x:c>
      <x:c r="R630" s="196" t="n">
        <x:f>J630-K630-L630</x:f>
        <x:v>0</x:v>
      </x:c>
    </x:row>
    <x:row r="631">
      <x:c r="A631" s="20" t="str">
        <x:v>上振れ</x:v>
      </x:c>
      <x:c r="B631" s="20" t="n">
        <x:v>13</x:v>
      </x:c>
      <x:c r="C631" s="20" t="n">
        <x:v>3</x:v>
      </x:c>
      <x:c r="D631" s="189" t="n">
        <x:v>1.1</x:v>
      </x:c>
      <x:c r="E631" s="189" t="n">
        <x:v>0.9</x:v>
      </x:c>
      <x:c r="F631" s="189" t="n">
        <x:f>MAX(MIN('詳細設定'!$D$15+0.05,1),0)</x:f>
        <x:v>0.45</x:v>
      </x:c>
      <x:c r="G631" s="563" t="n">
        <x:f>'_計算月次'!$J$7</x:f>
        <x:v>548.3418864753118</x:v>
      </x:c>
      <x:c r="H631" s="563" t="n">
        <x:f>'_計算月次'!$K$7</x:f>
        <x:v>360</x:v>
      </x:c>
      <x:c r="I631" s="563" t="n">
        <x:f>(1-MAX(MIN('詳細設定'!$D$16,0.999999),0))^(B631-1)</x:f>
        <x:v>1</x:v>
      </x:c>
      <x:c r="J631" s="563" t="n">
        <x:f>MAX(G631*D631*I631,0)</x:f>
        <x:v>603.176075122843</x:v>
      </x:c>
      <x:c r="K631" s="563" t="n">
        <x:f>MAX(MIN(J631*F631,H631),0)</x:f>
        <x:v>271.42923380527935</x:v>
      </x:c>
      <x:c r="L631" s="563" t="n">
        <x:f>MAX(J631-K631,0)</x:f>
        <x:v>331.7468413175637</x:v>
      </x:c>
      <x:c r="M631" s="185" t="n">
        <x:f>MAX('詳細設定'!$D$6,0)*(1+'詳細設定'!$D$21)^(B631-1)</x:f>
        <x:v>39.438876054618945</x:v>
      </x:c>
      <x:c r="N631" s="185" t="n">
        <x:f>IF(B631&lt;=MAX(MIN('詳細設定'!$D$8,20),0),MAX('詳細設定'!$D$7,0),IF(B631&lt;=MAX(MIN('詳細設定'!$D$10,20),0),MAX('詳細設定'!$D$9,0),MAX('詳細設定'!$D$11,0)))</x:f>
        <x:v>8.3</x:v>
      </x:c>
      <x:c r="O631" s="190" t="n">
        <x:f>K631*M631</x:f>
        <x:v>10704.8639096466</x:v>
      </x:c>
      <x:c r="P631" s="190" t="n">
        <x:f>L631*N631</x:f>
        <x:v>2753.4987829357788</x:v>
      </x:c>
      <x:c r="Q631" s="190" t="n">
        <x:f>O631+P631</x:f>
        <x:v>13458.362692582377</x:v>
      </x:c>
      <x:c r="R631" s="196" t="n">
        <x:f>J631-K631-L631</x:f>
        <x:v>0</x:v>
      </x:c>
    </x:row>
    <x:row r="632">
      <x:c r="A632" s="20" t="str">
        <x:v>上振れ</x:v>
      </x:c>
      <x:c r="B632" s="20" t="n">
        <x:v>13</x:v>
      </x:c>
      <x:c r="C632" s="20" t="n">
        <x:v>4</x:v>
      </x:c>
      <x:c r="D632" s="189" t="n">
        <x:v>1.1</x:v>
      </x:c>
      <x:c r="E632" s="189" t="n">
        <x:v>0.9</x:v>
      </x:c>
      <x:c r="F632" s="189" t="n">
        <x:f>MAX(MIN('詳細設定'!$D$15+0.05,1),0)</x:f>
        <x:v>0.45</x:v>
      </x:c>
      <x:c r="G632" s="563" t="n">
        <x:f>'_計算月次'!$J$8</x:f>
        <x:v>548.3944393749554</x:v>
      </x:c>
      <x:c r="H632" s="563" t="n">
        <x:f>'_計算月次'!$K$8</x:f>
        <x:v>315.00000000000006</x:v>
      </x:c>
      <x:c r="I632" s="563" t="n">
        <x:f>(1-MAX(MIN('詳細設定'!$D$16,0.999999),0))^(B632-1)</x:f>
        <x:v>1</x:v>
      </x:c>
      <x:c r="J632" s="563" t="n">
        <x:f>MAX(G632*D632*I632,0)</x:f>
        <x:v>603.233883312451</x:v>
      </x:c>
      <x:c r="K632" s="563" t="n">
        <x:f>MAX(MIN(J632*F632,H632),0)</x:f>
        <x:v>271.45524749060297</x:v>
      </x:c>
      <x:c r="L632" s="563" t="n">
        <x:f>MAX(J632-K632,0)</x:f>
        <x:v>331.778635821848</x:v>
      </x:c>
      <x:c r="M632" s="185" t="n">
        <x:f>MAX('詳細設定'!$D$6,0)*(1+'詳細設定'!$D$21)^(B632-1)</x:f>
        <x:v>39.438876054618945</x:v>
      </x:c>
      <x:c r="N632" s="185" t="n">
        <x:f>IF(B632&lt;=MAX(MIN('詳細設定'!$D$8,20),0),MAX('詳細設定'!$D$7,0),IF(B632&lt;=MAX(MIN('詳細設定'!$D$10,20),0),MAX('詳細設定'!$D$9,0),MAX('詳細設定'!$D$11,0)))</x:f>
        <x:v>8.3</x:v>
      </x:c>
      <x:c r="O632" s="190" t="n">
        <x:f>K632*M632</x:f>
        <x:v>10705.8898601578</x:v>
      </x:c>
      <x:c r="P632" s="190" t="n">
        <x:f>L632*N632</x:f>
        <x:v>2753.7626773213387</x:v>
      </x:c>
      <x:c r="Q632" s="190" t="n">
        <x:f>O632+P632</x:f>
        <x:v>13459.652537479138</x:v>
      </x:c>
      <x:c r="R632" s="196" t="n">
        <x:f>J632-K632-L632</x:f>
        <x:v>0</x:v>
      </x:c>
    </x:row>
    <x:row r="633">
      <x:c r="A633" s="20" t="str">
        <x:v>上振れ</x:v>
      </x:c>
      <x:c r="B633" s="20" t="n">
        <x:v>13</x:v>
      </x:c>
      <x:c r="C633" s="20" t="n">
        <x:v>5</x:v>
      </x:c>
      <x:c r="D633" s="189" t="n">
        <x:v>1.1</x:v>
      </x:c>
      <x:c r="E633" s="189" t="n">
        <x:v>0.9</x:v>
      </x:c>
      <x:c r="F633" s="189" t="n">
        <x:f>MAX(MIN('詳細設定'!$D$15+0.05,1),0)</x:f>
        <x:v>0.45</x:v>
      </x:c>
      <x:c r="G633" s="563" t="n">
        <x:f>'_計算月次'!$J$9</x:f>
        <x:v>552.2367574934775</x:v>
      </x:c>
      <x:c r="H633" s="563" t="n">
        <x:f>'_計算月次'!$K$9</x:f>
        <x:v>315.00000000000006</x:v>
      </x:c>
      <x:c r="I633" s="563" t="n">
        <x:f>(1-MAX(MIN('詳細設定'!$D$16,0.999999),0))^(B633-1)</x:f>
        <x:v>1</x:v>
      </x:c>
      <x:c r="J633" s="563" t="n">
        <x:f>MAX(G633*D633*I633,0)</x:f>
        <x:v>607.4604332428253</x:v>
      </x:c>
      <x:c r="K633" s="563" t="n">
        <x:f>MAX(MIN(J633*F633,H633),0)</x:f>
        <x:v>273.3571949592714</x:v>
      </x:c>
      <x:c r="L633" s="563" t="n">
        <x:f>MAX(J633-K633,0)</x:f>
        <x:v>334.1032382835539</x:v>
      </x:c>
      <x:c r="M633" s="185" t="n">
        <x:f>MAX('詳細設定'!$D$6,0)*(1+'詳細設定'!$D$21)^(B633-1)</x:f>
        <x:v>39.438876054618945</x:v>
      </x:c>
      <x:c r="N633" s="185" t="n">
        <x:f>IF(B633&lt;=MAX(MIN('詳細設定'!$D$8,20),0),MAX('詳細設定'!$D$7,0),IF(B633&lt;=MAX(MIN('詳細設定'!$D$10,20),0),MAX('詳細設定'!$D$9,0),MAX('詳細設定'!$D$11,0)))</x:f>
        <x:v>8.3</x:v>
      </x:c>
      <x:c r="O633" s="190" t="n">
        <x:f>K633*M633</x:f>
        <x:v>10780.90053063701</x:v>
      </x:c>
      <x:c r="P633" s="190" t="n">
        <x:f>L633*N633</x:f>
        <x:v>2773.0568777534972</x:v>
      </x:c>
      <x:c r="Q633" s="190" t="n">
        <x:f>O633+P633</x:f>
        <x:v>13553.957408390508</x:v>
      </x:c>
      <x:c r="R633" s="196" t="n">
        <x:f>J633-K633-L633</x:f>
        <x:v>0</x:v>
      </x:c>
    </x:row>
    <x:row r="634">
      <x:c r="A634" s="20" t="str">
        <x:v>上振れ</x:v>
      </x:c>
      <x:c r="B634" s="20" t="n">
        <x:v>13</x:v>
      </x:c>
      <x:c r="C634" s="20" t="n">
        <x:v>6</x:v>
      </x:c>
      <x:c r="D634" s="189" t="n">
        <x:v>1.1</x:v>
      </x:c>
      <x:c r="E634" s="189" t="n">
        <x:v>0.9</x:v>
      </x:c>
      <x:c r="F634" s="189" t="n">
        <x:f>MAX(MIN('詳細設定'!$D$15+0.05,1),0)</x:f>
        <x:v>0.45</x:v>
      </x:c>
      <x:c r="G634" s="563" t="n">
        <x:f>'_計算月次'!$J$10</x:f>
        <x:v>448.7994857612148</x:v>
      </x:c>
      <x:c r="H634" s="563" t="n">
        <x:f>'_計算月次'!$K$10</x:f>
        <x:v>360</x:v>
      </x:c>
      <x:c r="I634" s="563" t="n">
        <x:f>(1-MAX(MIN('詳細設定'!$D$16,0.999999),0))^(B634-1)</x:f>
        <x:v>1</x:v>
      </x:c>
      <x:c r="J634" s="563" t="n">
        <x:f>MAX(G634*D634*I634,0)</x:f>
        <x:v>493.6794343373363</x:v>
      </x:c>
      <x:c r="K634" s="563" t="n">
        <x:f>MAX(MIN(J634*F634,H634),0)</x:f>
        <x:v>222.15574545180135</x:v>
      </x:c>
      <x:c r="L634" s="563" t="n">
        <x:f>MAX(J634-K634,0)</x:f>
        <x:v>271.52368888553497</x:v>
      </x:c>
      <x:c r="M634" s="185" t="n">
        <x:f>MAX('詳細設定'!$D$6,0)*(1+'詳細設定'!$D$21)^(B634-1)</x:f>
        <x:v>39.438876054618945</x:v>
      </x:c>
      <x:c r="N634" s="185" t="n">
        <x:f>IF(B634&lt;=MAX(MIN('詳細設定'!$D$8,20),0),MAX('詳細設定'!$D$7,0),IF(B634&lt;=MAX(MIN('詳細設定'!$D$10,20),0),MAX('詳細設定'!$D$9,0),MAX('詳細設定'!$D$11,0)))</x:f>
        <x:v>8.3</x:v>
      </x:c>
      <x:c r="O634" s="190" t="n">
        <x:f>K634*M634</x:f>
        <x:v>8761.572909695069</x:v>
      </x:c>
      <x:c r="P634" s="190" t="n">
        <x:f>L634*N634</x:f>
        <x:v>2253.6466177499406</x:v>
      </x:c>
      <x:c r="Q634" s="190" t="n">
        <x:f>O634+P634</x:f>
        <x:v>11015.21952744501</x:v>
      </x:c>
      <x:c r="R634" s="196" t="n">
        <x:f>J634-K634-L634</x:f>
        <x:v>0</x:v>
      </x:c>
    </x:row>
    <x:row r="635">
      <x:c r="A635" s="20" t="str">
        <x:v>上振れ</x:v>
      </x:c>
      <x:c r="B635" s="20" t="n">
        <x:v>13</x:v>
      </x:c>
      <x:c r="C635" s="20" t="n">
        <x:v>7</x:v>
      </x:c>
      <x:c r="D635" s="189" t="n">
        <x:v>1.1</x:v>
      </x:c>
      <x:c r="E635" s="189" t="n">
        <x:v>0.9</x:v>
      </x:c>
      <x:c r="F635" s="189" t="n">
        <x:f>MAX(MIN('詳細設定'!$D$15+0.05,1),0)</x:f>
        <x:v>0.45</x:v>
      </x:c>
      <x:c r="G635" s="563" t="n">
        <x:f>'_計算月次'!$J$11</x:f>
        <x:v>476.0181638067866</x:v>
      </x:c>
      <x:c r="H635" s="563" t="n">
        <x:f>'_計算月次'!$K$11</x:f>
        <x:v>405</x:v>
      </x:c>
      <x:c r="I635" s="563" t="n">
        <x:f>(1-MAX(MIN('詳細設定'!$D$16,0.999999),0))^(B635-1)</x:f>
        <x:v>1</x:v>
      </x:c>
      <x:c r="J635" s="563" t="n">
        <x:f>MAX(G635*D635*I635,0)</x:f>
        <x:v>523.6199801874653</x:v>
      </x:c>
      <x:c r="K635" s="563" t="n">
        <x:f>MAX(MIN(J635*F635,H635),0)</x:f>
        <x:v>235.6289910843594</x:v>
      </x:c>
      <x:c r="L635" s="563" t="n">
        <x:f>MAX(J635-K635,0)</x:f>
        <x:v>287.9909891031059</x:v>
      </x:c>
      <x:c r="M635" s="185" t="n">
        <x:f>MAX('詳細設定'!$D$6,0)*(1+'詳細設定'!$D$21)^(B635-1)</x:f>
        <x:v>39.438876054618945</x:v>
      </x:c>
      <x:c r="N635" s="185" t="n">
        <x:f>IF(B635&lt;=MAX(MIN('詳細設定'!$D$8,20),0),MAX('詳細設定'!$D$7,0),IF(B635&lt;=MAX(MIN('詳細設定'!$D$10,20),0),MAX('詳細設定'!$D$9,0),MAX('詳細設定'!$D$11,0)))</x:f>
        <x:v>8.3</x:v>
      </x:c>
      <x:c r="O635" s="190" t="n">
        <x:f>K635*M635</x:f>
        <x:v>9292.942574250963</x:v>
      </x:c>
      <x:c r="P635" s="190" t="n">
        <x:f>L635*N635</x:f>
        <x:v>2390.325209555779</x:v>
      </x:c>
      <x:c r="Q635" s="190" t="n">
        <x:f>O635+P635</x:f>
        <x:v>11683.267783806743</x:v>
      </x:c>
      <x:c r="R635" s="196" t="n">
        <x:f>J635-K635-L635</x:f>
        <x:v>0</x:v>
      </x:c>
    </x:row>
    <x:row r="636">
      <x:c r="A636" s="20" t="str">
        <x:v>上振れ</x:v>
      </x:c>
      <x:c r="B636" s="20" t="n">
        <x:v>13</x:v>
      </x:c>
      <x:c r="C636" s="20" t="n">
        <x:v>8</x:v>
      </x:c>
      <x:c r="D636" s="189" t="n">
        <x:v>1.1</x:v>
      </x:c>
      <x:c r="E636" s="189" t="n">
        <x:v>0.9</x:v>
      </x:c>
      <x:c r="F636" s="189" t="n">
        <x:f>MAX(MIN('詳細設定'!$D$15+0.05,1),0)</x:f>
        <x:v>0.45</x:v>
      </x:c>
      <x:c r="G636" s="563" t="n">
        <x:f>'_計算月次'!$J$12</x:f>
        <x:v>528.6548067323699</x:v>
      </x:c>
      <x:c r="H636" s="563" t="n">
        <x:f>'_計算月次'!$K$12</x:f>
        <x:v>450</x:v>
      </x:c>
      <x:c r="I636" s="563" t="n">
        <x:f>(1-MAX(MIN('詳細設定'!$D$16,0.999999),0))^(B636-1)</x:f>
        <x:v>1</x:v>
      </x:c>
      <x:c r="J636" s="563" t="n">
        <x:f>MAX(G636*D636*I636,0)</x:f>
        <x:v>581.520287405607</x:v>
      </x:c>
      <x:c r="K636" s="563" t="n">
        <x:f>MAX(MIN(J636*F636,H636),0)</x:f>
        <x:v>261.6841293325231</x:v>
      </x:c>
      <x:c r="L636" s="563" t="n">
        <x:f>MAX(J636-K636,0)</x:f>
        <x:v>319.8361580730838</x:v>
      </x:c>
      <x:c r="M636" s="185" t="n">
        <x:f>MAX('詳細設定'!$D$6,0)*(1+'詳細設定'!$D$21)^(B636-1)</x:f>
        <x:v>39.438876054618945</x:v>
      </x:c>
      <x:c r="N636" s="185" t="n">
        <x:f>IF(B636&lt;=MAX(MIN('詳細設定'!$D$8,20),0),MAX('詳細設定'!$D$7,0),IF(B636&lt;=MAX(MIN('詳細設定'!$D$10,20),0),MAX('詳細設定'!$D$9,0),MAX('詳細設定'!$D$11,0)))</x:f>
        <x:v>8.3</x:v>
      </x:c>
      <x:c r="O636" s="190" t="n">
        <x:f>K636*M636</x:f>
        <x:v>10320.527942206254</x:v>
      </x:c>
      <x:c r="P636" s="190" t="n">
        <x:f>L636*N636</x:f>
        <x:v>2654.640112006596</x:v>
      </x:c>
      <x:c r="Q636" s="190" t="n">
        <x:f>O636+P636</x:f>
        <x:v>12975.16805421285</x:v>
      </x:c>
      <x:c r="R636" s="196" t="n">
        <x:f>J636-K636-L636</x:f>
        <x:v>0</x:v>
      </x:c>
    </x:row>
    <x:row r="637">
      <x:c r="A637" s="20" t="str">
        <x:v>上振れ</x:v>
      </x:c>
      <x:c r="B637" s="20" t="n">
        <x:v>13</x:v>
      </x:c>
      <x:c r="C637" s="20" t="n">
        <x:v>9</x:v>
      </x:c>
      <x:c r="D637" s="189" t="n">
        <x:v>1.1</x:v>
      </x:c>
      <x:c r="E637" s="189" t="n">
        <x:v>0.9</x:v>
      </x:c>
      <x:c r="F637" s="189" t="n">
        <x:f>MAX(MIN('詳細設定'!$D$15+0.05,1),0)</x:f>
        <x:v>0.45</x:v>
      </x:c>
      <x:c r="G637" s="563" t="n">
        <x:f>'_計算月次'!$J$13</x:f>
        <x:v>436.37734765103465</x:v>
      </x:c>
      <x:c r="H637" s="563" t="n">
        <x:f>'_計算月次'!$K$13</x:f>
        <x:v>360</x:v>
      </x:c>
      <x:c r="I637" s="563" t="n">
        <x:f>(1-MAX(MIN('詳細設定'!$D$16,0.999999),0))^(B637-1)</x:f>
        <x:v>1</x:v>
      </x:c>
      <x:c r="J637" s="563" t="n">
        <x:f>MAX(G637*D637*I637,0)</x:f>
        <x:v>480.01508241613817</x:v>
      </x:c>
      <x:c r="K637" s="563" t="n">
        <x:f>MAX(MIN(J637*F637,H637),0)</x:f>
        <x:v>216.00678708726218</x:v>
      </x:c>
      <x:c r="L637" s="563" t="n">
        <x:f>MAX(J637-K637,0)</x:f>
        <x:v>264.008295328876</x:v>
      </x:c>
      <x:c r="M637" s="185" t="n">
        <x:f>MAX('詳細設定'!$D$6,0)*(1+'詳細設定'!$D$21)^(B637-1)</x:f>
        <x:v>39.438876054618945</x:v>
      </x:c>
      <x:c r="N637" s="185" t="n">
        <x:f>IF(B637&lt;=MAX(MIN('詳細設定'!$D$8,20),0),MAX('詳細設定'!$D$7,0),IF(B637&lt;=MAX(MIN('詳細設定'!$D$10,20),0),MAX('詳細設定'!$D$9,0),MAX('詳細設定'!$D$11,0)))</x:f>
        <x:v>8.3</x:v>
      </x:c>
      <x:c r="O637" s="190" t="n">
        <x:f>K637*M637</x:f>
        <x:v>8519.064902890997</x:v>
      </x:c>
      <x:c r="P637" s="190" t="n">
        <x:f>L637*N637</x:f>
        <x:v>2191.268851229671</x:v>
      </x:c>
      <x:c r="Q637" s="190" t="n">
        <x:f>O637+P637</x:f>
        <x:v>10710.333754120667</x:v>
      </x:c>
      <x:c r="R637" s="196" t="n">
        <x:f>J637-K637-L637</x:f>
        <x:v>0</x:v>
      </x:c>
    </x:row>
    <x:row r="638">
      <x:c r="A638" s="20" t="str">
        <x:v>上振れ</x:v>
      </x:c>
      <x:c r="B638" s="20" t="n">
        <x:v>13</x:v>
      </x:c>
      <x:c r="C638" s="20" t="n">
        <x:v>10</x:v>
      </x:c>
      <x:c r="D638" s="189" t="n">
        <x:v>1.1</x:v>
      </x:c>
      <x:c r="E638" s="189" t="n">
        <x:v>0.9</x:v>
      </x:c>
      <x:c r="F638" s="189" t="n">
        <x:f>MAX(MIN('詳細設定'!$D$15+0.05,1),0)</x:f>
        <x:v>0.45</x:v>
      </x:c>
      <x:c r="G638" s="563" t="n">
        <x:f>'_計算月次'!$J$14</x:f>
        <x:v>408.8269849869007</x:v>
      </x:c>
      <x:c r="H638" s="563" t="n">
        <x:f>'_計算月次'!$K$14</x:f>
        <x:v>315.00000000000006</x:v>
      </x:c>
      <x:c r="I638" s="563" t="n">
        <x:f>(1-MAX(MIN('詳細設定'!$D$16,0.999999),0))^(B638-1)</x:f>
        <x:v>1</x:v>
      </x:c>
      <x:c r="J638" s="563" t="n">
        <x:f>MAX(G638*D638*I638,0)</x:f>
        <x:v>449.7096834855908</x:v>
      </x:c>
      <x:c r="K638" s="563" t="n">
        <x:f>MAX(MIN(J638*F638,H638),0)</x:f>
        <x:v>202.36935756851585</x:v>
      </x:c>
      <x:c r="L638" s="563" t="n">
        <x:f>MAX(J638-K638,0)</x:f>
        <x:v>247.34032591707495</x:v>
      </x:c>
      <x:c r="M638" s="185" t="n">
        <x:f>MAX('詳細設定'!$D$6,0)*(1+'詳細設定'!$D$21)^(B638-1)</x:f>
        <x:v>39.438876054618945</x:v>
      </x:c>
      <x:c r="N638" s="185" t="n">
        <x:f>IF(B638&lt;=MAX(MIN('詳細設定'!$D$8,20),0),MAX('詳細設定'!$D$7,0),IF(B638&lt;=MAX(MIN('詳細設定'!$D$10,20),0),MAX('詳細設定'!$D$9,0),MAX('詳細設定'!$D$11,0)))</x:f>
        <x:v>8.3</x:v>
      </x:c>
      <x:c r="O638" s="190" t="n">
        <x:f>K638*M638</x:f>
        <x:v>7981.220010397559</x:v>
      </x:c>
      <x:c r="P638" s="190" t="n">
        <x:f>L638*N638</x:f>
        <x:v>2052.9247051117222</x:v>
      </x:c>
      <x:c r="Q638" s="190" t="n">
        <x:f>O638+P638</x:f>
        <x:v>10034.144715509281</x:v>
      </x:c>
      <x:c r="R638" s="196" t="n">
        <x:f>J638-K638-L638</x:f>
        <x:v>0</x:v>
      </x:c>
    </x:row>
    <x:row r="639">
      <x:c r="A639" s="20" t="str">
        <x:v>上振れ</x:v>
      </x:c>
      <x:c r="B639" s="20" t="n">
        <x:v>13</x:v>
      </x:c>
      <x:c r="C639" s="20" t="n">
        <x:v>11</x:v>
      </x:c>
      <x:c r="D639" s="189" t="n">
        <x:v>1.1</x:v>
      </x:c>
      <x:c r="E639" s="189" t="n">
        <x:v>0.9</x:v>
      </x:c>
      <x:c r="F639" s="189" t="n">
        <x:f>MAX(MIN('詳細設定'!$D$15+0.05,1),0)</x:f>
        <x:v>0.45</x:v>
      </x:c>
      <x:c r="G639" s="563" t="n">
        <x:f>'_計算月次'!$J$15</x:f>
        <x:v>398.45169764745054</x:v>
      </x:c>
      <x:c r="H639" s="563" t="n">
        <x:f>'_計算月次'!$K$15</x:f>
        <x:v>360</x:v>
      </x:c>
      <x:c r="I639" s="563" t="n">
        <x:f>(1-MAX(MIN('詳細設定'!$D$16,0.999999),0))^(B639-1)</x:f>
        <x:v>1</x:v>
      </x:c>
      <x:c r="J639" s="563" t="n">
        <x:f>MAX(G639*D639*I639,0)</x:f>
        <x:v>438.29686741219564</x:v>
      </x:c>
      <x:c r="K639" s="563" t="n">
        <x:f>MAX(MIN(J639*F639,H639),0)</x:f>
        <x:v>197.23359033548803</x:v>
      </x:c>
      <x:c r="L639" s="563" t="n">
        <x:f>MAX(J639-K639,0)</x:f>
        <x:v>241.0632770767076</x:v>
      </x:c>
      <x:c r="M639" s="185" t="n">
        <x:f>MAX('詳細設定'!$D$6,0)*(1+'詳細設定'!$D$21)^(B639-1)</x:f>
        <x:v>39.438876054618945</x:v>
      </x:c>
      <x:c r="N639" s="185" t="n">
        <x:f>IF(B639&lt;=MAX(MIN('詳細設定'!$D$8,20),0),MAX('詳細設定'!$D$7,0),IF(B639&lt;=MAX(MIN('詳細設定'!$D$10,20),0),MAX('詳細設定'!$D$9,0),MAX('詳細設定'!$D$11,0)))</x:f>
        <x:v>8.3</x:v>
      </x:c>
      <x:c r="O639" s="190" t="n">
        <x:f>K639*M639</x:f>
        <x:v>7778.671123048802</x:v>
      </x:c>
      <x:c r="P639" s="190" t="n">
        <x:f>L639*N639</x:f>
        <x:v>2000.8251997366733</x:v>
      </x:c>
      <x:c r="Q639" s="190" t="n">
        <x:f>O639+P639</x:f>
        <x:v>9779.496322785475</x:v>
      </x:c>
      <x:c r="R639" s="196" t="n">
        <x:f>J639-K639-L639</x:f>
        <x:v>0</x:v>
      </x:c>
    </x:row>
    <x:row r="640">
      <x:c r="A640" s="20" t="str">
        <x:v>上振れ</x:v>
      </x:c>
      <x:c r="B640" s="20" t="n">
        <x:v>13</x:v>
      </x:c>
      <x:c r="C640" s="20" t="n">
        <x:v>12</x:v>
      </x:c>
      <x:c r="D640" s="189" t="n">
        <x:v>1.1</x:v>
      </x:c>
      <x:c r="E640" s="189" t="n">
        <x:v>0.9</x:v>
      </x:c>
      <x:c r="F640" s="189" t="n">
        <x:f>MAX(MIN('詳細設定'!$D$15+0.05,1),0)</x:f>
        <x:v>0.45</x:v>
      </x:c>
      <x:c r="G640" s="563" t="n">
        <x:f>'_計算月次'!$J$16</x:f>
        <x:v>443.97248688000184</x:v>
      </x:c>
      <x:c r="H640" s="563" t="n">
        <x:f>'_計算月次'!$K$16</x:f>
        <x:v>405</x:v>
      </x:c>
      <x:c r="I640" s="563" t="n">
        <x:f>(1-MAX(MIN('詳細設定'!$D$16,0.999999),0))^(B640-1)</x:f>
        <x:v>1</x:v>
      </x:c>
      <x:c r="J640" s="563" t="n">
        <x:f>MAX(G640*D640*I640,0)</x:f>
        <x:v>488.36973556800206</x:v>
      </x:c>
      <x:c r="K640" s="563" t="n">
        <x:f>MAX(MIN(J640*F640,H640),0)</x:f>
        <x:v>219.76638100560092</x:v>
      </x:c>
      <x:c r="L640" s="563" t="n">
        <x:f>MAX(J640-K640,0)</x:f>
        <x:v>268.60335456240114</x:v>
      </x:c>
      <x:c r="M640" s="185" t="n">
        <x:f>MAX('詳細設定'!$D$6,0)*(1+'詳細設定'!$D$21)^(B640-1)</x:f>
        <x:v>39.438876054618945</x:v>
      </x:c>
      <x:c r="N640" s="185" t="n">
        <x:f>IF(B640&lt;=MAX(MIN('詳細設定'!$D$8,20),0),MAX('詳細設定'!$D$7,0),IF(B640&lt;=MAX(MIN('詳細設定'!$D$10,20),0),MAX('詳細設定'!$D$9,0),MAX('詳細設定'!$D$11,0)))</x:f>
        <x:v>8.3</x:v>
      </x:c>
      <x:c r="O640" s="190" t="n">
        <x:f>K640*M640</x:f>
        <x:v>8667.339061452058</x:v>
      </x:c>
      <x:c r="P640" s="190" t="n">
        <x:f>L640*N640</x:f>
        <x:v>2229.4078428679295</x:v>
      </x:c>
      <x:c r="Q640" s="190" t="n">
        <x:f>O640+P640</x:f>
        <x:v>10896.746904319987</x:v>
      </x:c>
      <x:c r="R640" s="196" t="n">
        <x:f>J640-K640-L640</x:f>
        <x:v>0</x:v>
      </x:c>
    </x:row>
    <x:row r="641">
      <x:c r="A641" s="20" t="str">
        <x:v>上振れ</x:v>
      </x:c>
      <x:c r="B641" s="20" t="n">
        <x:v>14</x:v>
      </x:c>
      <x:c r="C641" s="20" t="n">
        <x:v>1</x:v>
      </x:c>
      <x:c r="D641" s="189" t="n">
        <x:v>1.1</x:v>
      </x:c>
      <x:c r="E641" s="189" t="n">
        <x:v>0.9</x:v>
      </x:c>
      <x:c r="F641" s="189" t="n">
        <x:f>MAX(MIN('詳細設定'!$D$15+0.05,1),0)</x:f>
        <x:v>0.45</x:v>
      </x:c>
      <x:c r="G641" s="563" t="n">
        <x:f>'_計算月次'!$J$5</x:f>
        <x:v>502.4147595742038</x:v>
      </x:c>
      <x:c r="H641" s="563" t="n">
        <x:f>'_計算月次'!$K$5</x:f>
        <x:v>450</x:v>
      </x:c>
      <x:c r="I641" s="563" t="n">
        <x:f>(1-MAX(MIN('詳細設定'!$D$16,0.999999),0))^(B641-1)</x:f>
        <x:v>1</x:v>
      </x:c>
      <x:c r="J641" s="563" t="n">
        <x:f>MAX(G641*D641*I641,0)</x:f>
        <x:v>552.6562355316242</x:v>
      </x:c>
      <x:c r="K641" s="563" t="n">
        <x:f>MAX(MIN(J641*F641,H641),0)</x:f>
        <x:v>248.69530598923092</x:v>
      </x:c>
      <x:c r="L641" s="563" t="n">
        <x:f>MAX(J641-K641,0)</x:f>
        <x:v>303.96092954239333</x:v>
      </x:c>
      <x:c r="M641" s="185" t="n">
        <x:f>MAX('詳細設定'!$D$6,0)*(1+'詳細設定'!$D$21)^(B641-1)</x:f>
        <x:v>39.83326481516513</x:v>
      </x:c>
      <x:c r="N641" s="185" t="n">
        <x:f>IF(B641&lt;=MAX(MIN('詳細設定'!$D$8,20),0),MAX('詳細設定'!$D$7,0),IF(B641&lt;=MAX(MIN('詳細設定'!$D$10,20),0),MAX('詳細設定'!$D$9,0),MAX('詳細設定'!$D$11,0)))</x:f>
        <x:v>8.3</x:v>
      </x:c>
      <x:c r="O641" s="190" t="n">
        <x:f>K641*M641</x:f>
        <x:v>9906.345981757559</x:v>
      </x:c>
      <x:c r="P641" s="190" t="n">
        <x:f>L641*N641</x:f>
        <x:v>2522.8757152018648</x:v>
      </x:c>
      <x:c r="Q641" s="190" t="n">
        <x:f>O641+P641</x:f>
        <x:v>12429.221696959423</x:v>
      </x:c>
      <x:c r="R641" s="196" t="n">
        <x:f>J641-K641-L641</x:f>
        <x:v>0</x:v>
      </x:c>
    </x:row>
    <x:row r="642">
      <x:c r="A642" s="20" t="str">
        <x:v>上振れ</x:v>
      </x:c>
      <x:c r="B642" s="20" t="n">
        <x:v>14</x:v>
      </x:c>
      <x:c r="C642" s="20" t="n">
        <x:v>2</x:v>
      </x:c>
      <x:c r="D642" s="189" t="n">
        <x:v>1.1</x:v>
      </x:c>
      <x:c r="E642" s="189" t="n">
        <x:v>0.9</x:v>
      </x:c>
      <x:c r="F642" s="189" t="n">
        <x:f>MAX(MIN('詳細設定'!$D$15+0.05,1),0)</x:f>
        <x:v>0.45</x:v>
      </x:c>
      <x:c r="G642" s="563" t="n">
        <x:f>'_計算月次'!$J$6</x:f>
        <x:v>472.4508339500229</x:v>
      </x:c>
      <x:c r="H642" s="563" t="n">
        <x:f>'_計算月次'!$K$6</x:f>
        <x:v>405</x:v>
      </x:c>
      <x:c r="I642" s="563" t="n">
        <x:f>(1-MAX(MIN('詳細設定'!$D$16,0.999999),0))^(B642-1)</x:f>
        <x:v>1</x:v>
      </x:c>
      <x:c r="J642" s="563" t="n">
        <x:f>MAX(G642*D642*I642,0)</x:f>
        <x:v>519.6959173450252</x:v>
      </x:c>
      <x:c r="K642" s="563" t="n">
        <x:f>MAX(MIN(J642*F642,H642),0)</x:f>
        <x:v>233.86316280526137</x:v>
      </x:c>
      <x:c r="L642" s="563" t="n">
        <x:f>MAX(J642-K642,0)</x:f>
        <x:v>285.83275453976387</x:v>
      </x:c>
      <x:c r="M642" s="185" t="n">
        <x:f>MAX('詳細設定'!$D$6,0)*(1+'詳細設定'!$D$21)^(B642-1)</x:f>
        <x:v>39.83326481516513</x:v>
      </x:c>
      <x:c r="N642" s="185" t="n">
        <x:f>IF(B642&lt;=MAX(MIN('詳細設定'!$D$8,20),0),MAX('詳細設定'!$D$7,0),IF(B642&lt;=MAX(MIN('詳細設定'!$D$10,20),0),MAX('詳細設定'!$D$9,0),MAX('詳細設定'!$D$11,0)))</x:f>
        <x:v>8.3</x:v>
      </x:c>
      <x:c r="O642" s="190" t="n">
        <x:f>K642*M642</x:f>
        <x:v>9315.533294534052</x:v>
      </x:c>
      <x:c r="P642" s="190" t="n">
        <x:f>L642*N642</x:f>
        <x:v>2372.4118626800405</x:v>
      </x:c>
      <x:c r="Q642" s="190" t="n">
        <x:f>O642+P642</x:f>
        <x:v>11687.945157214093</x:v>
      </x:c>
      <x:c r="R642" s="196" t="n">
        <x:f>J642-K642-L642</x:f>
        <x:v>0</x:v>
      </x:c>
    </x:row>
    <x:row r="643">
      <x:c r="A643" s="20" t="str">
        <x:v>上振れ</x:v>
      </x:c>
      <x:c r="B643" s="20" t="n">
        <x:v>14</x:v>
      </x:c>
      <x:c r="C643" s="20" t="n">
        <x:v>3</x:v>
      </x:c>
      <x:c r="D643" s="189" t="n">
        <x:v>1.1</x:v>
      </x:c>
      <x:c r="E643" s="189" t="n">
        <x:v>0.9</x:v>
      </x:c>
      <x:c r="F643" s="189" t="n">
        <x:f>MAX(MIN('詳細設定'!$D$15+0.05,1),0)</x:f>
        <x:v>0.45</x:v>
      </x:c>
      <x:c r="G643" s="563" t="n">
        <x:f>'_計算月次'!$J$7</x:f>
        <x:v>548.3418864753118</x:v>
      </x:c>
      <x:c r="H643" s="563" t="n">
        <x:f>'_計算月次'!$K$7</x:f>
        <x:v>360</x:v>
      </x:c>
      <x:c r="I643" s="563" t="n">
        <x:f>(1-MAX(MIN('詳細設定'!$D$16,0.999999),0))^(B643-1)</x:f>
        <x:v>1</x:v>
      </x:c>
      <x:c r="J643" s="563" t="n">
        <x:f>MAX(G643*D643*I643,0)</x:f>
        <x:v>603.176075122843</x:v>
      </x:c>
      <x:c r="K643" s="563" t="n">
        <x:f>MAX(MIN(J643*F643,H643),0)</x:f>
        <x:v>271.42923380527935</x:v>
      </x:c>
      <x:c r="L643" s="563" t="n">
        <x:f>MAX(J643-K643,0)</x:f>
        <x:v>331.7468413175637</x:v>
      </x:c>
      <x:c r="M643" s="185" t="n">
        <x:f>MAX('詳細設定'!$D$6,0)*(1+'詳細設定'!$D$21)^(B643-1)</x:f>
        <x:v>39.83326481516513</x:v>
      </x:c>
      <x:c r="N643" s="185" t="n">
        <x:f>IF(B643&lt;=MAX(MIN('詳細設定'!$D$8,20),0),MAX('詳細設定'!$D$7,0),IF(B643&lt;=MAX(MIN('詳細設定'!$D$10,20),0),MAX('詳細設定'!$D$9,0),MAX('詳細設定'!$D$11,0)))</x:f>
        <x:v>8.3</x:v>
      </x:c>
      <x:c r="O643" s="190" t="n">
        <x:f>K643*M643</x:f>
        <x:v>10811.912548743063</x:v>
      </x:c>
      <x:c r="P643" s="190" t="n">
        <x:f>L643*N643</x:f>
        <x:v>2753.4987829357788</x:v>
      </x:c>
      <x:c r="Q643" s="190" t="n">
        <x:f>O643+P643</x:f>
        <x:v>13565.411331678843</x:v>
      </x:c>
      <x:c r="R643" s="196" t="n">
        <x:f>J643-K643-L643</x:f>
        <x:v>0</x:v>
      </x:c>
    </x:row>
    <x:row r="644">
      <x:c r="A644" s="20" t="str">
        <x:v>上振れ</x:v>
      </x:c>
      <x:c r="B644" s="20" t="n">
        <x:v>14</x:v>
      </x:c>
      <x:c r="C644" s="20" t="n">
        <x:v>4</x:v>
      </x:c>
      <x:c r="D644" s="189" t="n">
        <x:v>1.1</x:v>
      </x:c>
      <x:c r="E644" s="189" t="n">
        <x:v>0.9</x:v>
      </x:c>
      <x:c r="F644" s="189" t="n">
        <x:f>MAX(MIN('詳細設定'!$D$15+0.05,1),0)</x:f>
        <x:v>0.45</x:v>
      </x:c>
      <x:c r="G644" s="563" t="n">
        <x:f>'_計算月次'!$J$8</x:f>
        <x:v>548.3944393749554</x:v>
      </x:c>
      <x:c r="H644" s="563" t="n">
        <x:f>'_計算月次'!$K$8</x:f>
        <x:v>315.00000000000006</x:v>
      </x:c>
      <x:c r="I644" s="563" t="n">
        <x:f>(1-MAX(MIN('詳細設定'!$D$16,0.999999),0))^(B644-1)</x:f>
        <x:v>1</x:v>
      </x:c>
      <x:c r="J644" s="563" t="n">
        <x:f>MAX(G644*D644*I644,0)</x:f>
        <x:v>603.233883312451</x:v>
      </x:c>
      <x:c r="K644" s="563" t="n">
        <x:f>MAX(MIN(J644*F644,H644),0)</x:f>
        <x:v>271.45524749060297</x:v>
      </x:c>
      <x:c r="L644" s="563" t="n">
        <x:f>MAX(J644-K644,0)</x:f>
        <x:v>331.778635821848</x:v>
      </x:c>
      <x:c r="M644" s="185" t="n">
        <x:f>MAX('詳細設定'!$D$6,0)*(1+'詳細設定'!$D$21)^(B644-1)</x:f>
        <x:v>39.83326481516513</x:v>
      </x:c>
      <x:c r="N644" s="185" t="n">
        <x:f>IF(B644&lt;=MAX(MIN('詳細設定'!$D$8,20),0),MAX('詳細設定'!$D$7,0),IF(B644&lt;=MAX(MIN('詳細設定'!$D$10,20),0),MAX('詳細設定'!$D$9,0),MAX('詳細設定'!$D$11,0)))</x:f>
        <x:v>8.3</x:v>
      </x:c>
      <x:c r="O644" s="190" t="n">
        <x:f>K644*M644</x:f>
        <x:v>10812.948758759378</x:v>
      </x:c>
      <x:c r="P644" s="190" t="n">
        <x:f>L644*N644</x:f>
        <x:v>2753.7626773213387</x:v>
      </x:c>
      <x:c r="Q644" s="190" t="n">
        <x:f>O644+P644</x:f>
        <x:v>13566.711436080717</x:v>
      </x:c>
      <x:c r="R644" s="196" t="n">
        <x:f>J644-K644-L644</x:f>
        <x:v>0</x:v>
      </x:c>
    </x:row>
    <x:row r="645">
      <x:c r="A645" s="20" t="str">
        <x:v>上振れ</x:v>
      </x:c>
      <x:c r="B645" s="20" t="n">
        <x:v>14</x:v>
      </x:c>
      <x:c r="C645" s="20" t="n">
        <x:v>5</x:v>
      </x:c>
      <x:c r="D645" s="189" t="n">
        <x:v>1.1</x:v>
      </x:c>
      <x:c r="E645" s="189" t="n">
        <x:v>0.9</x:v>
      </x:c>
      <x:c r="F645" s="189" t="n">
        <x:f>MAX(MIN('詳細設定'!$D$15+0.05,1),0)</x:f>
        <x:v>0.45</x:v>
      </x:c>
      <x:c r="G645" s="563" t="n">
        <x:f>'_計算月次'!$J$9</x:f>
        <x:v>552.2367574934775</x:v>
      </x:c>
      <x:c r="H645" s="563" t="n">
        <x:f>'_計算月次'!$K$9</x:f>
        <x:v>315.00000000000006</x:v>
      </x:c>
      <x:c r="I645" s="563" t="n">
        <x:f>(1-MAX(MIN('詳細設定'!$D$16,0.999999),0))^(B645-1)</x:f>
        <x:v>1</x:v>
      </x:c>
      <x:c r="J645" s="563" t="n">
        <x:f>MAX(G645*D645*I645,0)</x:f>
        <x:v>607.4604332428253</x:v>
      </x:c>
      <x:c r="K645" s="563" t="n">
        <x:f>MAX(MIN(J645*F645,H645),0)</x:f>
        <x:v>273.3571949592714</x:v>
      </x:c>
      <x:c r="L645" s="563" t="n">
        <x:f>MAX(J645-K645,0)</x:f>
        <x:v>334.1032382835539</x:v>
      </x:c>
      <x:c r="M645" s="185" t="n">
        <x:f>MAX('詳細設定'!$D$6,0)*(1+'詳細設定'!$D$21)^(B645-1)</x:f>
        <x:v>39.83326481516513</x:v>
      </x:c>
      <x:c r="N645" s="185" t="n">
        <x:f>IF(B645&lt;=MAX(MIN('詳細設定'!$D$8,20),0),MAX('詳細設定'!$D$7,0),IF(B645&lt;=MAX(MIN('詳細設定'!$D$10,20),0),MAX('詳細設定'!$D$9,0),MAX('詳細設定'!$D$11,0)))</x:f>
        <x:v>8.3</x:v>
      </x:c>
      <x:c r="O645" s="190" t="n">
        <x:f>K645*M645</x:f>
        <x:v>10888.70953594338</x:v>
      </x:c>
      <x:c r="P645" s="190" t="n">
        <x:f>L645*N645</x:f>
        <x:v>2773.0568777534972</x:v>
      </x:c>
      <x:c r="Q645" s="190" t="n">
        <x:f>O645+P645</x:f>
        <x:v>13661.766413696878</x:v>
      </x:c>
      <x:c r="R645" s="196" t="n">
        <x:f>J645-K645-L645</x:f>
        <x:v>0</x:v>
      </x:c>
    </x:row>
    <x:row r="646">
      <x:c r="A646" s="20" t="str">
        <x:v>上振れ</x:v>
      </x:c>
      <x:c r="B646" s="20" t="n">
        <x:v>14</x:v>
      </x:c>
      <x:c r="C646" s="20" t="n">
        <x:v>6</x:v>
      </x:c>
      <x:c r="D646" s="189" t="n">
        <x:v>1.1</x:v>
      </x:c>
      <x:c r="E646" s="189" t="n">
        <x:v>0.9</x:v>
      </x:c>
      <x:c r="F646" s="189" t="n">
        <x:f>MAX(MIN('詳細設定'!$D$15+0.05,1),0)</x:f>
        <x:v>0.45</x:v>
      </x:c>
      <x:c r="G646" s="563" t="n">
        <x:f>'_計算月次'!$J$10</x:f>
        <x:v>448.7994857612148</x:v>
      </x:c>
      <x:c r="H646" s="563" t="n">
        <x:f>'_計算月次'!$K$10</x:f>
        <x:v>360</x:v>
      </x:c>
      <x:c r="I646" s="563" t="n">
        <x:f>(1-MAX(MIN('詳細設定'!$D$16,0.999999),0))^(B646-1)</x:f>
        <x:v>1</x:v>
      </x:c>
      <x:c r="J646" s="563" t="n">
        <x:f>MAX(G646*D646*I646,0)</x:f>
        <x:v>493.6794343373363</x:v>
      </x:c>
      <x:c r="K646" s="563" t="n">
        <x:f>MAX(MIN(J646*F646,H646),0)</x:f>
        <x:v>222.15574545180135</x:v>
      </x:c>
      <x:c r="L646" s="563" t="n">
        <x:f>MAX(J646-K646,0)</x:f>
        <x:v>271.52368888553497</x:v>
      </x:c>
      <x:c r="M646" s="185" t="n">
        <x:f>MAX('詳細設定'!$D$6,0)*(1+'詳細設定'!$D$21)^(B646-1)</x:f>
        <x:v>39.83326481516513</x:v>
      </x:c>
      <x:c r="N646" s="185" t="n">
        <x:f>IF(B646&lt;=MAX(MIN('詳細設定'!$D$8,20),0),MAX('詳細設定'!$D$7,0),IF(B646&lt;=MAX(MIN('詳細設定'!$D$10,20),0),MAX('詳細設定'!$D$9,0),MAX('詳細設定'!$D$11,0)))</x:f>
        <x:v>8.3</x:v>
      </x:c>
      <x:c r="O646" s="190" t="n">
        <x:f>K646*M646</x:f>
        <x:v>8849.18863879202</x:v>
      </x:c>
      <x:c r="P646" s="190" t="n">
        <x:f>L646*N646</x:f>
        <x:v>2253.6466177499406</x:v>
      </x:c>
      <x:c r="Q646" s="190" t="n">
        <x:f>O646+P646</x:f>
        <x:v>11102.835256541961</x:v>
      </x:c>
      <x:c r="R646" s="196" t="n">
        <x:f>J646-K646-L646</x:f>
        <x:v>0</x:v>
      </x:c>
    </x:row>
    <x:row r="647">
      <x:c r="A647" s="20" t="str">
        <x:v>上振れ</x:v>
      </x:c>
      <x:c r="B647" s="20" t="n">
        <x:v>14</x:v>
      </x:c>
      <x:c r="C647" s="20" t="n">
        <x:v>7</x:v>
      </x:c>
      <x:c r="D647" s="189" t="n">
        <x:v>1.1</x:v>
      </x:c>
      <x:c r="E647" s="189" t="n">
        <x:v>0.9</x:v>
      </x:c>
      <x:c r="F647" s="189" t="n">
        <x:f>MAX(MIN('詳細設定'!$D$15+0.05,1),0)</x:f>
        <x:v>0.45</x:v>
      </x:c>
      <x:c r="G647" s="563" t="n">
        <x:f>'_計算月次'!$J$11</x:f>
        <x:v>476.0181638067866</x:v>
      </x:c>
      <x:c r="H647" s="563" t="n">
        <x:f>'_計算月次'!$K$11</x:f>
        <x:v>405</x:v>
      </x:c>
      <x:c r="I647" s="563" t="n">
        <x:f>(1-MAX(MIN('詳細設定'!$D$16,0.999999),0))^(B647-1)</x:f>
        <x:v>1</x:v>
      </x:c>
      <x:c r="J647" s="563" t="n">
        <x:f>MAX(G647*D647*I647,0)</x:f>
        <x:v>523.6199801874653</x:v>
      </x:c>
      <x:c r="K647" s="563" t="n">
        <x:f>MAX(MIN(J647*F647,H647),0)</x:f>
        <x:v>235.6289910843594</x:v>
      </x:c>
      <x:c r="L647" s="563" t="n">
        <x:f>MAX(J647-K647,0)</x:f>
        <x:v>287.9909891031059</x:v>
      </x:c>
      <x:c r="M647" s="185" t="n">
        <x:f>MAX('詳細設定'!$D$6,0)*(1+'詳細設定'!$D$21)^(B647-1)</x:f>
        <x:v>39.83326481516513</x:v>
      </x:c>
      <x:c r="N647" s="185" t="n">
        <x:f>IF(B647&lt;=MAX(MIN('詳細設定'!$D$8,20),0),MAX('詳細設定'!$D$7,0),IF(B647&lt;=MAX(MIN('詳細設定'!$D$10,20),0),MAX('詳細設定'!$D$9,0),MAX('詳細設定'!$D$11,0)))</x:f>
        <x:v>8.3</x:v>
      </x:c>
      <x:c r="O647" s="190" t="n">
        <x:f>K647*M647</x:f>
        <x:v>9385.871999993471</x:v>
      </x:c>
      <x:c r="P647" s="190" t="n">
        <x:f>L647*N647</x:f>
        <x:v>2390.325209555779</x:v>
      </x:c>
      <x:c r="Q647" s="190" t="n">
        <x:f>O647+P647</x:f>
        <x:v>11776.19720954925</x:v>
      </x:c>
      <x:c r="R647" s="196" t="n">
        <x:f>J647-K647-L647</x:f>
        <x:v>0</x:v>
      </x:c>
    </x:row>
    <x:row r="648">
      <x:c r="A648" s="20" t="str">
        <x:v>上振れ</x:v>
      </x:c>
      <x:c r="B648" s="20" t="n">
        <x:v>14</x:v>
      </x:c>
      <x:c r="C648" s="20" t="n">
        <x:v>8</x:v>
      </x:c>
      <x:c r="D648" s="189" t="n">
        <x:v>1.1</x:v>
      </x:c>
      <x:c r="E648" s="189" t="n">
        <x:v>0.9</x:v>
      </x:c>
      <x:c r="F648" s="189" t="n">
        <x:f>MAX(MIN('詳細設定'!$D$15+0.05,1),0)</x:f>
        <x:v>0.45</x:v>
      </x:c>
      <x:c r="G648" s="563" t="n">
        <x:f>'_計算月次'!$J$12</x:f>
        <x:v>528.6548067323699</x:v>
      </x:c>
      <x:c r="H648" s="563" t="n">
        <x:f>'_計算月次'!$K$12</x:f>
        <x:v>450</x:v>
      </x:c>
      <x:c r="I648" s="563" t="n">
        <x:f>(1-MAX(MIN('詳細設定'!$D$16,0.999999),0))^(B648-1)</x:f>
        <x:v>1</x:v>
      </x:c>
      <x:c r="J648" s="563" t="n">
        <x:f>MAX(G648*D648*I648,0)</x:f>
        <x:v>581.520287405607</x:v>
      </x:c>
      <x:c r="K648" s="563" t="n">
        <x:f>MAX(MIN(J648*F648,H648),0)</x:f>
        <x:v>261.6841293325231</x:v>
      </x:c>
      <x:c r="L648" s="563" t="n">
        <x:f>MAX(J648-K648,0)</x:f>
        <x:v>319.8361580730838</x:v>
      </x:c>
      <x:c r="M648" s="185" t="n">
        <x:f>MAX('詳細設定'!$D$6,0)*(1+'詳細設定'!$D$21)^(B648-1)</x:f>
        <x:v>39.83326481516513</x:v>
      </x:c>
      <x:c r="N648" s="185" t="n">
        <x:f>IF(B648&lt;=MAX(MIN('詳細設定'!$D$8,20),0),MAX('詳細設定'!$D$7,0),IF(B648&lt;=MAX(MIN('詳細設定'!$D$10,20),0),MAX('詳細設定'!$D$9,0),MAX('詳細設定'!$D$11,0)))</x:f>
        <x:v>8.3</x:v>
      </x:c>
      <x:c r="O648" s="190" t="n">
        <x:f>K648*M648</x:f>
        <x:v>10423.733221628314</x:v>
      </x:c>
      <x:c r="P648" s="190" t="n">
        <x:f>L648*N648</x:f>
        <x:v>2654.640112006596</x:v>
      </x:c>
      <x:c r="Q648" s="190" t="n">
        <x:f>O648+P648</x:f>
        <x:v>13078.37333363491</x:v>
      </x:c>
      <x:c r="R648" s="196" t="n">
        <x:f>J648-K648-L648</x:f>
        <x:v>0</x:v>
      </x:c>
    </x:row>
    <x:row r="649">
      <x:c r="A649" s="20" t="str">
        <x:v>上振れ</x:v>
      </x:c>
      <x:c r="B649" s="20" t="n">
        <x:v>14</x:v>
      </x:c>
      <x:c r="C649" s="20" t="n">
        <x:v>9</x:v>
      </x:c>
      <x:c r="D649" s="189" t="n">
        <x:v>1.1</x:v>
      </x:c>
      <x:c r="E649" s="189" t="n">
        <x:v>0.9</x:v>
      </x:c>
      <x:c r="F649" s="189" t="n">
        <x:f>MAX(MIN('詳細設定'!$D$15+0.05,1),0)</x:f>
        <x:v>0.45</x:v>
      </x:c>
      <x:c r="G649" s="563" t="n">
        <x:f>'_計算月次'!$J$13</x:f>
        <x:v>436.37734765103465</x:v>
      </x:c>
      <x:c r="H649" s="563" t="n">
        <x:f>'_計算月次'!$K$13</x:f>
        <x:v>360</x:v>
      </x:c>
      <x:c r="I649" s="563" t="n">
        <x:f>(1-MAX(MIN('詳細設定'!$D$16,0.999999),0))^(B649-1)</x:f>
        <x:v>1</x:v>
      </x:c>
      <x:c r="J649" s="563" t="n">
        <x:f>MAX(G649*D649*I649,0)</x:f>
        <x:v>480.01508241613817</x:v>
      </x:c>
      <x:c r="K649" s="563" t="n">
        <x:f>MAX(MIN(J649*F649,H649),0)</x:f>
        <x:v>216.00678708726218</x:v>
      </x:c>
      <x:c r="L649" s="563" t="n">
        <x:f>MAX(J649-K649,0)</x:f>
        <x:v>264.008295328876</x:v>
      </x:c>
      <x:c r="M649" s="185" t="n">
        <x:f>MAX('詳細設定'!$D$6,0)*(1+'詳細設定'!$D$21)^(B649-1)</x:f>
        <x:v>39.83326481516513</x:v>
      </x:c>
      <x:c r="N649" s="185" t="n">
        <x:f>IF(B649&lt;=MAX(MIN('詳細設定'!$D$8,20),0),MAX('詳細設定'!$D$7,0),IF(B649&lt;=MAX(MIN('詳細設定'!$D$10,20),0),MAX('詳細設定'!$D$9,0),MAX('詳細設定'!$D$11,0)))</x:f>
        <x:v>8.3</x:v>
      </x:c>
      <x:c r="O649" s="190" t="n">
        <x:f>K649*M649</x:f>
        <x:v>8604.255551919907</x:v>
      </x:c>
      <x:c r="P649" s="190" t="n">
        <x:f>L649*N649</x:f>
        <x:v>2191.268851229671</x:v>
      </x:c>
      <x:c r="Q649" s="190" t="n">
        <x:f>O649+P649</x:f>
        <x:v>10795.524403149579</x:v>
      </x:c>
      <x:c r="R649" s="196" t="n">
        <x:f>J649-K649-L649</x:f>
        <x:v>0</x:v>
      </x:c>
    </x:row>
    <x:row r="650">
      <x:c r="A650" s="20" t="str">
        <x:v>上振れ</x:v>
      </x:c>
      <x:c r="B650" s="20" t="n">
        <x:v>14</x:v>
      </x:c>
      <x:c r="C650" s="20" t="n">
        <x:v>10</x:v>
      </x:c>
      <x:c r="D650" s="189" t="n">
        <x:v>1.1</x:v>
      </x:c>
      <x:c r="E650" s="189" t="n">
        <x:v>0.9</x:v>
      </x:c>
      <x:c r="F650" s="189" t="n">
        <x:f>MAX(MIN('詳細設定'!$D$15+0.05,1),0)</x:f>
        <x:v>0.45</x:v>
      </x:c>
      <x:c r="G650" s="563" t="n">
        <x:f>'_計算月次'!$J$14</x:f>
        <x:v>408.8269849869007</x:v>
      </x:c>
      <x:c r="H650" s="563" t="n">
        <x:f>'_計算月次'!$K$14</x:f>
        <x:v>315.00000000000006</x:v>
      </x:c>
      <x:c r="I650" s="563" t="n">
        <x:f>(1-MAX(MIN('詳細設定'!$D$16,0.999999),0))^(B650-1)</x:f>
        <x:v>1</x:v>
      </x:c>
      <x:c r="J650" s="563" t="n">
        <x:f>MAX(G650*D650*I650,0)</x:f>
        <x:v>449.7096834855908</x:v>
      </x:c>
      <x:c r="K650" s="563" t="n">
        <x:f>MAX(MIN(J650*F650,H650),0)</x:f>
        <x:v>202.36935756851585</x:v>
      </x:c>
      <x:c r="L650" s="563" t="n">
        <x:f>MAX(J650-K650,0)</x:f>
        <x:v>247.34032591707495</x:v>
      </x:c>
      <x:c r="M650" s="185" t="n">
        <x:f>MAX('詳細設定'!$D$6,0)*(1+'詳細設定'!$D$21)^(B650-1)</x:f>
        <x:v>39.83326481516513</x:v>
      </x:c>
      <x:c r="N650" s="185" t="n">
        <x:f>IF(B650&lt;=MAX(MIN('詳細設定'!$D$8,20),0),MAX('詳細設定'!$D$7,0),IF(B650&lt;=MAX(MIN('詳細設定'!$D$10,20),0),MAX('詳細設定'!$D$9,0),MAX('詳細設定'!$D$11,0)))</x:f>
        <x:v>8.3</x:v>
      </x:c>
      <x:c r="O650" s="190" t="n">
        <x:f>K650*M650</x:f>
        <x:v>8061.032210501534</x:v>
      </x:c>
      <x:c r="P650" s="190" t="n">
        <x:f>L650*N650</x:f>
        <x:v>2052.9247051117222</x:v>
      </x:c>
      <x:c r="Q650" s="190" t="n">
        <x:f>O650+P650</x:f>
        <x:v>10113.956915613257</x:v>
      </x:c>
      <x:c r="R650" s="196" t="n">
        <x:f>J650-K650-L650</x:f>
        <x:v>0</x:v>
      </x:c>
    </x:row>
    <x:row r="651">
      <x:c r="A651" s="20" t="str">
        <x:v>上振れ</x:v>
      </x:c>
      <x:c r="B651" s="20" t="n">
        <x:v>14</x:v>
      </x:c>
      <x:c r="C651" s="20" t="n">
        <x:v>11</x:v>
      </x:c>
      <x:c r="D651" s="189" t="n">
        <x:v>1.1</x:v>
      </x:c>
      <x:c r="E651" s="189" t="n">
        <x:v>0.9</x:v>
      </x:c>
      <x:c r="F651" s="189" t="n">
        <x:f>MAX(MIN('詳細設定'!$D$15+0.05,1),0)</x:f>
        <x:v>0.45</x:v>
      </x:c>
      <x:c r="G651" s="563" t="n">
        <x:f>'_計算月次'!$J$15</x:f>
        <x:v>398.45169764745054</x:v>
      </x:c>
      <x:c r="H651" s="563" t="n">
        <x:f>'_計算月次'!$K$15</x:f>
        <x:v>360</x:v>
      </x:c>
      <x:c r="I651" s="563" t="n">
        <x:f>(1-MAX(MIN('詳細設定'!$D$16,0.999999),0))^(B651-1)</x:f>
        <x:v>1</x:v>
      </x:c>
      <x:c r="J651" s="563" t="n">
        <x:f>MAX(G651*D651*I651,0)</x:f>
        <x:v>438.29686741219564</x:v>
      </x:c>
      <x:c r="K651" s="563" t="n">
        <x:f>MAX(MIN(J651*F651,H651),0)</x:f>
        <x:v>197.23359033548803</x:v>
      </x:c>
      <x:c r="L651" s="563" t="n">
        <x:f>MAX(J651-K651,0)</x:f>
        <x:v>241.0632770767076</x:v>
      </x:c>
      <x:c r="M651" s="185" t="n">
        <x:f>MAX('詳細設定'!$D$6,0)*(1+'詳細設定'!$D$21)^(B651-1)</x:f>
        <x:v>39.83326481516513</x:v>
      </x:c>
      <x:c r="N651" s="185" t="n">
        <x:f>IF(B651&lt;=MAX(MIN('詳細設定'!$D$8,20),0),MAX('詳細設定'!$D$7,0),IF(B651&lt;=MAX(MIN('詳細設定'!$D$10,20),0),MAX('詳細設定'!$D$9,0),MAX('詳細設定'!$D$11,0)))</x:f>
        <x:v>8.3</x:v>
      </x:c>
      <x:c r="O651" s="190" t="n">
        <x:f>K651*M651</x:f>
        <x:v>7856.457834279288</x:v>
      </x:c>
      <x:c r="P651" s="190" t="n">
        <x:f>L651*N651</x:f>
        <x:v>2000.8251997366733</x:v>
      </x:c>
      <x:c r="Q651" s="190" t="n">
        <x:f>O651+P651</x:f>
        <x:v>9857.283034015962</x:v>
      </x:c>
      <x:c r="R651" s="196" t="n">
        <x:f>J651-K651-L651</x:f>
        <x:v>0</x:v>
      </x:c>
    </x:row>
    <x:row r="652">
      <x:c r="A652" s="20" t="str">
        <x:v>上振れ</x:v>
      </x:c>
      <x:c r="B652" s="20" t="n">
        <x:v>14</x:v>
      </x:c>
      <x:c r="C652" s="20" t="n">
        <x:v>12</x:v>
      </x:c>
      <x:c r="D652" s="189" t="n">
        <x:v>1.1</x:v>
      </x:c>
      <x:c r="E652" s="189" t="n">
        <x:v>0.9</x:v>
      </x:c>
      <x:c r="F652" s="189" t="n">
        <x:f>MAX(MIN('詳細設定'!$D$15+0.05,1),0)</x:f>
        <x:v>0.45</x:v>
      </x:c>
      <x:c r="G652" s="563" t="n">
        <x:f>'_計算月次'!$J$16</x:f>
        <x:v>443.97248688000184</x:v>
      </x:c>
      <x:c r="H652" s="563" t="n">
        <x:f>'_計算月次'!$K$16</x:f>
        <x:v>405</x:v>
      </x:c>
      <x:c r="I652" s="563" t="n">
        <x:f>(1-MAX(MIN('詳細設定'!$D$16,0.999999),0))^(B652-1)</x:f>
        <x:v>1</x:v>
      </x:c>
      <x:c r="J652" s="563" t="n">
        <x:f>MAX(G652*D652*I652,0)</x:f>
        <x:v>488.36973556800206</x:v>
      </x:c>
      <x:c r="K652" s="563" t="n">
        <x:f>MAX(MIN(J652*F652,H652),0)</x:f>
        <x:v>219.76638100560092</x:v>
      </x:c>
      <x:c r="L652" s="563" t="n">
        <x:f>MAX(J652-K652,0)</x:f>
        <x:v>268.60335456240114</x:v>
      </x:c>
      <x:c r="M652" s="185" t="n">
        <x:f>MAX('詳細設定'!$D$6,0)*(1+'詳細設定'!$D$21)^(B652-1)</x:f>
        <x:v>39.83326481516513</x:v>
      </x:c>
      <x:c r="N652" s="185" t="n">
        <x:f>IF(B652&lt;=MAX(MIN('詳細設定'!$D$8,20),0),MAX('詳細設定'!$D$7,0),IF(B652&lt;=MAX(MIN('詳細設定'!$D$10,20),0),MAX('詳細設定'!$D$9,0),MAX('詳細設定'!$D$11,0)))</x:f>
        <x:v>8.3</x:v>
      </x:c>
      <x:c r="O652" s="190" t="n">
        <x:f>K652*M652</x:f>
        <x:v>8754.012452066578</x:v>
      </x:c>
      <x:c r="P652" s="190" t="n">
        <x:f>L652*N652</x:f>
        <x:v>2229.4078428679295</x:v>
      </x:c>
      <x:c r="Q652" s="190" t="n">
        <x:f>O652+P652</x:f>
        <x:v>10983.420294934507</x:v>
      </x:c>
      <x:c r="R652" s="196" t="n">
        <x:f>J652-K652-L652</x:f>
        <x:v>0</x:v>
      </x:c>
    </x:row>
    <x:row r="653">
      <x:c r="A653" s="20" t="str">
        <x:v>上振れ</x:v>
      </x:c>
      <x:c r="B653" s="20" t="n">
        <x:v>15</x:v>
      </x:c>
      <x:c r="C653" s="20" t="n">
        <x:v>1</x:v>
      </x:c>
      <x:c r="D653" s="189" t="n">
        <x:v>1.1</x:v>
      </x:c>
      <x:c r="E653" s="189" t="n">
        <x:v>0.9</x:v>
      </x:c>
      <x:c r="F653" s="189" t="n">
        <x:f>MAX(MIN('詳細設定'!$D$15+0.05,1),0)</x:f>
        <x:v>0.45</x:v>
      </x:c>
      <x:c r="G653" s="563" t="n">
        <x:f>'_計算月次'!$J$5</x:f>
        <x:v>502.4147595742038</x:v>
      </x:c>
      <x:c r="H653" s="563" t="n">
        <x:f>'_計算月次'!$K$5</x:f>
        <x:v>450</x:v>
      </x:c>
      <x:c r="I653" s="563" t="n">
        <x:f>(1-MAX(MIN('詳細設定'!$D$16,0.999999),0))^(B653-1)</x:f>
        <x:v>1</x:v>
      </x:c>
      <x:c r="J653" s="563" t="n">
        <x:f>MAX(G653*D653*I653,0)</x:f>
        <x:v>552.6562355316242</x:v>
      </x:c>
      <x:c r="K653" s="563" t="n">
        <x:f>MAX(MIN(J653*F653,H653),0)</x:f>
        <x:v>248.69530598923092</x:v>
      </x:c>
      <x:c r="L653" s="563" t="n">
        <x:f>MAX(J653-K653,0)</x:f>
        <x:v>303.96092954239333</x:v>
      </x:c>
      <x:c r="M653" s="185" t="n">
        <x:f>MAX('詳細設定'!$D$6,0)*(1+'詳細設定'!$D$21)^(B653-1)</x:f>
        <x:v>40.23159746331679</x:v>
      </x:c>
      <x:c r="N653" s="185" t="n">
        <x:f>IF(B653&lt;=MAX(MIN('詳細設定'!$D$8,20),0),MAX('詳細設定'!$D$7,0),IF(B653&lt;=MAX(MIN('詳細設定'!$D$10,20),0),MAX('詳細設定'!$D$9,0),MAX('詳細設定'!$D$11,0)))</x:f>
        <x:v>8.3</x:v>
      </x:c>
      <x:c r="O653" s="190" t="n">
        <x:f>K653*M653</x:f>
        <x:v>10005.409441575135</x:v>
      </x:c>
      <x:c r="P653" s="190" t="n">
        <x:f>L653*N653</x:f>
        <x:v>2522.8757152018648</x:v>
      </x:c>
      <x:c r="Q653" s="190" t="n">
        <x:f>O653+P653</x:f>
        <x:v>12528.285156777</x:v>
      </x:c>
      <x:c r="R653" s="196" t="n">
        <x:f>J653-K653-L653</x:f>
        <x:v>0</x:v>
      </x:c>
    </x:row>
    <x:row r="654">
      <x:c r="A654" s="20" t="str">
        <x:v>上振れ</x:v>
      </x:c>
      <x:c r="B654" s="20" t="n">
        <x:v>15</x:v>
      </x:c>
      <x:c r="C654" s="20" t="n">
        <x:v>2</x:v>
      </x:c>
      <x:c r="D654" s="189" t="n">
        <x:v>1.1</x:v>
      </x:c>
      <x:c r="E654" s="189" t="n">
        <x:v>0.9</x:v>
      </x:c>
      <x:c r="F654" s="189" t="n">
        <x:f>MAX(MIN('詳細設定'!$D$15+0.05,1),0)</x:f>
        <x:v>0.45</x:v>
      </x:c>
      <x:c r="G654" s="563" t="n">
        <x:f>'_計算月次'!$J$6</x:f>
        <x:v>472.4508339500229</x:v>
      </x:c>
      <x:c r="H654" s="563" t="n">
        <x:f>'_計算月次'!$K$6</x:f>
        <x:v>405</x:v>
      </x:c>
      <x:c r="I654" s="563" t="n">
        <x:f>(1-MAX(MIN('詳細設定'!$D$16,0.999999),0))^(B654-1)</x:f>
        <x:v>1</x:v>
      </x:c>
      <x:c r="J654" s="563" t="n">
        <x:f>MAX(G654*D654*I654,0)</x:f>
        <x:v>519.6959173450252</x:v>
      </x:c>
      <x:c r="K654" s="563" t="n">
        <x:f>MAX(MIN(J654*F654,H654),0)</x:f>
        <x:v>233.86316280526137</x:v>
      </x:c>
      <x:c r="L654" s="563" t="n">
        <x:f>MAX(J654-K654,0)</x:f>
        <x:v>285.83275453976387</x:v>
      </x:c>
      <x:c r="M654" s="185" t="n">
        <x:f>MAX('詳細設定'!$D$6,0)*(1+'詳細設定'!$D$21)^(B654-1)</x:f>
        <x:v>40.23159746331679</x:v>
      </x:c>
      <x:c r="N654" s="185" t="n">
        <x:f>IF(B654&lt;=MAX(MIN('詳細設定'!$D$8,20),0),MAX('詳細設定'!$D$7,0),IF(B654&lt;=MAX(MIN('詳細設定'!$D$10,20),0),MAX('詳細設定'!$D$9,0),MAX('詳細設定'!$D$11,0)))</x:f>
        <x:v>8.3</x:v>
      </x:c>
      <x:c r="O654" s="190" t="n">
        <x:f>K654*M654</x:f>
        <x:v>9408.688627479394</x:v>
      </x:c>
      <x:c r="P654" s="190" t="n">
        <x:f>L654*N654</x:f>
        <x:v>2372.4118626800405</x:v>
      </x:c>
      <x:c r="Q654" s="190" t="n">
        <x:f>O654+P654</x:f>
        <x:v>11781.100490159435</x:v>
      </x:c>
      <x:c r="R654" s="196" t="n">
        <x:f>J654-K654-L654</x:f>
        <x:v>0</x:v>
      </x:c>
    </x:row>
    <x:row r="655">
      <x:c r="A655" s="20" t="str">
        <x:v>上振れ</x:v>
      </x:c>
      <x:c r="B655" s="20" t="n">
        <x:v>15</x:v>
      </x:c>
      <x:c r="C655" s="20" t="n">
        <x:v>3</x:v>
      </x:c>
      <x:c r="D655" s="189" t="n">
        <x:v>1.1</x:v>
      </x:c>
      <x:c r="E655" s="189" t="n">
        <x:v>0.9</x:v>
      </x:c>
      <x:c r="F655" s="189" t="n">
        <x:f>MAX(MIN('詳細設定'!$D$15+0.05,1),0)</x:f>
        <x:v>0.45</x:v>
      </x:c>
      <x:c r="G655" s="563" t="n">
        <x:f>'_計算月次'!$J$7</x:f>
        <x:v>548.3418864753118</x:v>
      </x:c>
      <x:c r="H655" s="563" t="n">
        <x:f>'_計算月次'!$K$7</x:f>
        <x:v>360</x:v>
      </x:c>
      <x:c r="I655" s="563" t="n">
        <x:f>(1-MAX(MIN('詳細設定'!$D$16,0.999999),0))^(B655-1)</x:f>
        <x:v>1</x:v>
      </x:c>
      <x:c r="J655" s="563" t="n">
        <x:f>MAX(G655*D655*I655,0)</x:f>
        <x:v>603.176075122843</x:v>
      </x:c>
      <x:c r="K655" s="563" t="n">
        <x:f>MAX(MIN(J655*F655,H655),0)</x:f>
        <x:v>271.42923380527935</x:v>
      </x:c>
      <x:c r="L655" s="563" t="n">
        <x:f>MAX(J655-K655,0)</x:f>
        <x:v>331.7468413175637</x:v>
      </x:c>
      <x:c r="M655" s="185" t="n">
        <x:f>MAX('詳細設定'!$D$6,0)*(1+'詳細設定'!$D$21)^(B655-1)</x:f>
        <x:v>40.23159746331679</x:v>
      </x:c>
      <x:c r="N655" s="185" t="n">
        <x:f>IF(B655&lt;=MAX(MIN('詳細設定'!$D$8,20),0),MAX('詳細設定'!$D$7,0),IF(B655&lt;=MAX(MIN('詳細設定'!$D$10,20),0),MAX('詳細設定'!$D$9,0),MAX('詳細設定'!$D$11,0)))</x:f>
        <x:v>8.3</x:v>
      </x:c>
      <x:c r="O655" s="190" t="n">
        <x:f>K655*M655</x:f>
        <x:v>10920.031674230497</x:v>
      </x:c>
      <x:c r="P655" s="190" t="n">
        <x:f>L655*N655</x:f>
        <x:v>2753.4987829357788</x:v>
      </x:c>
      <x:c r="Q655" s="190" t="n">
        <x:f>O655+P655</x:f>
        <x:v>13673.530457166275</x:v>
      </x:c>
      <x:c r="R655" s="196" t="n">
        <x:f>J655-K655-L655</x:f>
        <x:v>0</x:v>
      </x:c>
    </x:row>
    <x:row r="656">
      <x:c r="A656" s="20" t="str">
        <x:v>上振れ</x:v>
      </x:c>
      <x:c r="B656" s="20" t="n">
        <x:v>15</x:v>
      </x:c>
      <x:c r="C656" s="20" t="n">
        <x:v>4</x:v>
      </x:c>
      <x:c r="D656" s="189" t="n">
        <x:v>1.1</x:v>
      </x:c>
      <x:c r="E656" s="189" t="n">
        <x:v>0.9</x:v>
      </x:c>
      <x:c r="F656" s="189" t="n">
        <x:f>MAX(MIN('詳細設定'!$D$15+0.05,1),0)</x:f>
        <x:v>0.45</x:v>
      </x:c>
      <x:c r="G656" s="563" t="n">
        <x:f>'_計算月次'!$J$8</x:f>
        <x:v>548.3944393749554</x:v>
      </x:c>
      <x:c r="H656" s="563" t="n">
        <x:f>'_計算月次'!$K$8</x:f>
        <x:v>315.00000000000006</x:v>
      </x:c>
      <x:c r="I656" s="563" t="n">
        <x:f>(1-MAX(MIN('詳細設定'!$D$16,0.999999),0))^(B656-1)</x:f>
        <x:v>1</x:v>
      </x:c>
      <x:c r="J656" s="563" t="n">
        <x:f>MAX(G656*D656*I656,0)</x:f>
        <x:v>603.233883312451</x:v>
      </x:c>
      <x:c r="K656" s="563" t="n">
        <x:f>MAX(MIN(J656*F656,H656),0)</x:f>
        <x:v>271.45524749060297</x:v>
      </x:c>
      <x:c r="L656" s="563" t="n">
        <x:f>MAX(J656-K656,0)</x:f>
        <x:v>331.778635821848</x:v>
      </x:c>
      <x:c r="M656" s="185" t="n">
        <x:f>MAX('詳細設定'!$D$6,0)*(1+'詳細設定'!$D$21)^(B656-1)</x:f>
        <x:v>40.23159746331679</x:v>
      </x:c>
      <x:c r="N656" s="185" t="n">
        <x:f>IF(B656&lt;=MAX(MIN('詳細設定'!$D$8,20),0),MAX('詳細設定'!$D$7,0),IF(B656&lt;=MAX(MIN('詳細設定'!$D$10,20),0),MAX('詳細設定'!$D$9,0),MAX('詳細設定'!$D$11,0)))</x:f>
        <x:v>8.3</x:v>
      </x:c>
      <x:c r="O656" s="190" t="n">
        <x:f>K656*M656</x:f>
        <x:v>10921.078246346973</x:v>
      </x:c>
      <x:c r="P656" s="190" t="n">
        <x:f>L656*N656</x:f>
        <x:v>2753.7626773213387</x:v>
      </x:c>
      <x:c r="Q656" s="190" t="n">
        <x:f>O656+P656</x:f>
        <x:v>13674.840923668311</x:v>
      </x:c>
      <x:c r="R656" s="196" t="n">
        <x:f>J656-K656-L656</x:f>
        <x:v>0</x:v>
      </x:c>
    </x:row>
    <x:row r="657">
      <x:c r="A657" s="20" t="str">
        <x:v>上振れ</x:v>
      </x:c>
      <x:c r="B657" s="20" t="n">
        <x:v>15</x:v>
      </x:c>
      <x:c r="C657" s="20" t="n">
        <x:v>5</x:v>
      </x:c>
      <x:c r="D657" s="189" t="n">
        <x:v>1.1</x:v>
      </x:c>
      <x:c r="E657" s="189" t="n">
        <x:v>0.9</x:v>
      </x:c>
      <x:c r="F657" s="189" t="n">
        <x:f>MAX(MIN('詳細設定'!$D$15+0.05,1),0)</x:f>
        <x:v>0.45</x:v>
      </x:c>
      <x:c r="G657" s="563" t="n">
        <x:f>'_計算月次'!$J$9</x:f>
        <x:v>552.2367574934775</x:v>
      </x:c>
      <x:c r="H657" s="563" t="n">
        <x:f>'_計算月次'!$K$9</x:f>
        <x:v>315.00000000000006</x:v>
      </x:c>
      <x:c r="I657" s="563" t="n">
        <x:f>(1-MAX(MIN('詳細設定'!$D$16,0.999999),0))^(B657-1)</x:f>
        <x:v>1</x:v>
      </x:c>
      <x:c r="J657" s="563" t="n">
        <x:f>MAX(G657*D657*I657,0)</x:f>
        <x:v>607.4604332428253</x:v>
      </x:c>
      <x:c r="K657" s="563" t="n">
        <x:f>MAX(MIN(J657*F657,H657),0)</x:f>
        <x:v>273.3571949592714</x:v>
      </x:c>
      <x:c r="L657" s="563" t="n">
        <x:f>MAX(J657-K657,0)</x:f>
        <x:v>334.1032382835539</x:v>
      </x:c>
      <x:c r="M657" s="185" t="n">
        <x:f>MAX('詳細設定'!$D$6,0)*(1+'詳細設定'!$D$21)^(B657-1)</x:f>
        <x:v>40.23159746331679</x:v>
      </x:c>
      <x:c r="N657" s="185" t="n">
        <x:f>IF(B657&lt;=MAX(MIN('詳細設定'!$D$8,20),0),MAX('詳細設定'!$D$7,0),IF(B657&lt;=MAX(MIN('詳細設定'!$D$10,20),0),MAX('詳細設定'!$D$9,0),MAX('詳細設定'!$D$11,0)))</x:f>
        <x:v>8.3</x:v>
      </x:c>
      <x:c r="O657" s="190" t="n">
        <x:f>K657*M657</x:f>
        <x:v>10997.596631302817</x:v>
      </x:c>
      <x:c r="P657" s="190" t="n">
        <x:f>L657*N657</x:f>
        <x:v>2773.0568777534972</x:v>
      </x:c>
      <x:c r="Q657" s="190" t="n">
        <x:f>O657+P657</x:f>
        <x:v>13770.653509056314</x:v>
      </x:c>
      <x:c r="R657" s="196" t="n">
        <x:f>J657-K657-L657</x:f>
        <x:v>0</x:v>
      </x:c>
    </x:row>
    <x:row r="658">
      <x:c r="A658" s="20" t="str">
        <x:v>上振れ</x:v>
      </x:c>
      <x:c r="B658" s="20" t="n">
        <x:v>15</x:v>
      </x:c>
      <x:c r="C658" s="20" t="n">
        <x:v>6</x:v>
      </x:c>
      <x:c r="D658" s="189" t="n">
        <x:v>1.1</x:v>
      </x:c>
      <x:c r="E658" s="189" t="n">
        <x:v>0.9</x:v>
      </x:c>
      <x:c r="F658" s="189" t="n">
        <x:f>MAX(MIN('詳細設定'!$D$15+0.05,1),0)</x:f>
        <x:v>0.45</x:v>
      </x:c>
      <x:c r="G658" s="563" t="n">
        <x:f>'_計算月次'!$J$10</x:f>
        <x:v>448.7994857612148</x:v>
      </x:c>
      <x:c r="H658" s="563" t="n">
        <x:f>'_計算月次'!$K$10</x:f>
        <x:v>360</x:v>
      </x:c>
      <x:c r="I658" s="563" t="n">
        <x:f>(1-MAX(MIN('詳細設定'!$D$16,0.999999),0))^(B658-1)</x:f>
        <x:v>1</x:v>
      </x:c>
      <x:c r="J658" s="563" t="n">
        <x:f>MAX(G658*D658*I658,0)</x:f>
        <x:v>493.6794343373363</x:v>
      </x:c>
      <x:c r="K658" s="563" t="n">
        <x:f>MAX(MIN(J658*F658,H658),0)</x:f>
        <x:v>222.15574545180135</x:v>
      </x:c>
      <x:c r="L658" s="563" t="n">
        <x:f>MAX(J658-K658,0)</x:f>
        <x:v>271.52368888553497</x:v>
      </x:c>
      <x:c r="M658" s="185" t="n">
        <x:f>MAX('詳細設定'!$D$6,0)*(1+'詳細設定'!$D$21)^(B658-1)</x:f>
        <x:v>40.23159746331679</x:v>
      </x:c>
      <x:c r="N658" s="185" t="n">
        <x:f>IF(B658&lt;=MAX(MIN('詳細設定'!$D$8,20),0),MAX('詳細設定'!$D$7,0),IF(B658&lt;=MAX(MIN('詳細設定'!$D$10,20),0),MAX('詳細設定'!$D$9,0),MAX('詳細設定'!$D$11,0)))</x:f>
        <x:v>8.3</x:v>
      </x:c>
      <x:c r="O658" s="190" t="n">
        <x:f>K658*M658</x:f>
        <x:v>8937.680525179941</x:v>
      </x:c>
      <x:c r="P658" s="190" t="n">
        <x:f>L658*N658</x:f>
        <x:v>2253.6466177499406</x:v>
      </x:c>
      <x:c r="Q658" s="190" t="n">
        <x:f>O658+P658</x:f>
        <x:v>11191.327142929882</x:v>
      </x:c>
      <x:c r="R658" s="196" t="n">
        <x:f>J658-K658-L658</x:f>
        <x:v>0</x:v>
      </x:c>
    </x:row>
    <x:row r="659">
      <x:c r="A659" s="20" t="str">
        <x:v>上振れ</x:v>
      </x:c>
      <x:c r="B659" s="20" t="n">
        <x:v>15</x:v>
      </x:c>
      <x:c r="C659" s="20" t="n">
        <x:v>7</x:v>
      </x:c>
      <x:c r="D659" s="189" t="n">
        <x:v>1.1</x:v>
      </x:c>
      <x:c r="E659" s="189" t="n">
        <x:v>0.9</x:v>
      </x:c>
      <x:c r="F659" s="189" t="n">
        <x:f>MAX(MIN('詳細設定'!$D$15+0.05,1),0)</x:f>
        <x:v>0.45</x:v>
      </x:c>
      <x:c r="G659" s="563" t="n">
        <x:f>'_計算月次'!$J$11</x:f>
        <x:v>476.0181638067866</x:v>
      </x:c>
      <x:c r="H659" s="563" t="n">
        <x:f>'_計算月次'!$K$11</x:f>
        <x:v>405</x:v>
      </x:c>
      <x:c r="I659" s="563" t="n">
        <x:f>(1-MAX(MIN('詳細設定'!$D$16,0.999999),0))^(B659-1)</x:f>
        <x:v>1</x:v>
      </x:c>
      <x:c r="J659" s="563" t="n">
        <x:f>MAX(G659*D659*I659,0)</x:f>
        <x:v>523.6199801874653</x:v>
      </x:c>
      <x:c r="K659" s="563" t="n">
        <x:f>MAX(MIN(J659*F659,H659),0)</x:f>
        <x:v>235.6289910843594</x:v>
      </x:c>
      <x:c r="L659" s="563" t="n">
        <x:f>MAX(J659-K659,0)</x:f>
        <x:v>287.9909891031059</x:v>
      </x:c>
      <x:c r="M659" s="185" t="n">
        <x:f>MAX('詳細設定'!$D$6,0)*(1+'詳細設定'!$D$21)^(B659-1)</x:f>
        <x:v>40.23159746331679</x:v>
      </x:c>
      <x:c r="N659" s="185" t="n">
        <x:f>IF(B659&lt;=MAX(MIN('詳細設定'!$D$8,20),0),MAX('詳細設定'!$D$7,0),IF(B659&lt;=MAX(MIN('詳細設定'!$D$10,20),0),MAX('詳細設定'!$D$9,0),MAX('詳細設定'!$D$11,0)))</x:f>
        <x:v>8.3</x:v>
      </x:c>
      <x:c r="O659" s="190" t="n">
        <x:f>K659*M659</x:f>
        <x:v>9479.730719993408</x:v>
      </x:c>
      <x:c r="P659" s="190" t="n">
        <x:f>L659*N659</x:f>
        <x:v>2390.325209555779</x:v>
      </x:c>
      <x:c r="Q659" s="190" t="n">
        <x:f>O659+P659</x:f>
        <x:v>11870.055929549188</x:v>
      </x:c>
      <x:c r="R659" s="196" t="n">
        <x:f>J659-K659-L659</x:f>
        <x:v>0</x:v>
      </x:c>
    </x:row>
    <x:row r="660">
      <x:c r="A660" s="20" t="str">
        <x:v>上振れ</x:v>
      </x:c>
      <x:c r="B660" s="20" t="n">
        <x:v>15</x:v>
      </x:c>
      <x:c r="C660" s="20" t="n">
        <x:v>8</x:v>
      </x:c>
      <x:c r="D660" s="189" t="n">
        <x:v>1.1</x:v>
      </x:c>
      <x:c r="E660" s="189" t="n">
        <x:v>0.9</x:v>
      </x:c>
      <x:c r="F660" s="189" t="n">
        <x:f>MAX(MIN('詳細設定'!$D$15+0.05,1),0)</x:f>
        <x:v>0.45</x:v>
      </x:c>
      <x:c r="G660" s="563" t="n">
        <x:f>'_計算月次'!$J$12</x:f>
        <x:v>528.6548067323699</x:v>
      </x:c>
      <x:c r="H660" s="563" t="n">
        <x:f>'_計算月次'!$K$12</x:f>
        <x:v>450</x:v>
      </x:c>
      <x:c r="I660" s="563" t="n">
        <x:f>(1-MAX(MIN('詳細設定'!$D$16,0.999999),0))^(B660-1)</x:f>
        <x:v>1</x:v>
      </x:c>
      <x:c r="J660" s="563" t="n">
        <x:f>MAX(G660*D660*I660,0)</x:f>
        <x:v>581.520287405607</x:v>
      </x:c>
      <x:c r="K660" s="563" t="n">
        <x:f>MAX(MIN(J660*F660,H660),0)</x:f>
        <x:v>261.6841293325231</x:v>
      </x:c>
      <x:c r="L660" s="563" t="n">
        <x:f>MAX(J660-K660,0)</x:f>
        <x:v>319.8361580730838</x:v>
      </x:c>
      <x:c r="M660" s="185" t="n">
        <x:f>MAX('詳細設定'!$D$6,0)*(1+'詳細設定'!$D$21)^(B660-1)</x:f>
        <x:v>40.23159746331679</x:v>
      </x:c>
      <x:c r="N660" s="185" t="n">
        <x:f>IF(B660&lt;=MAX(MIN('詳細設定'!$D$8,20),0),MAX('詳細設定'!$D$7,0),IF(B660&lt;=MAX(MIN('詳細設定'!$D$10,20),0),MAX('詳細設定'!$D$9,0),MAX('詳細設定'!$D$11,0)))</x:f>
        <x:v>8.3</x:v>
      </x:c>
      <x:c r="O660" s="190" t="n">
        <x:f>K660*M660</x:f>
        <x:v>10527.9705538446</x:v>
      </x:c>
      <x:c r="P660" s="190" t="n">
        <x:f>L660*N660</x:f>
        <x:v>2654.640112006596</x:v>
      </x:c>
      <x:c r="Q660" s="190" t="n">
        <x:f>O660+P660</x:f>
        <x:v>13182.610665851196</x:v>
      </x:c>
      <x:c r="R660" s="196" t="n">
        <x:f>J660-K660-L660</x:f>
        <x:v>0</x:v>
      </x:c>
    </x:row>
    <x:row r="661">
      <x:c r="A661" s="20" t="str">
        <x:v>上振れ</x:v>
      </x:c>
      <x:c r="B661" s="20" t="n">
        <x:v>15</x:v>
      </x:c>
      <x:c r="C661" s="20" t="n">
        <x:v>9</x:v>
      </x:c>
      <x:c r="D661" s="189" t="n">
        <x:v>1.1</x:v>
      </x:c>
      <x:c r="E661" s="189" t="n">
        <x:v>0.9</x:v>
      </x:c>
      <x:c r="F661" s="189" t="n">
        <x:f>MAX(MIN('詳細設定'!$D$15+0.05,1),0)</x:f>
        <x:v>0.45</x:v>
      </x:c>
      <x:c r="G661" s="563" t="n">
        <x:f>'_計算月次'!$J$13</x:f>
        <x:v>436.37734765103465</x:v>
      </x:c>
      <x:c r="H661" s="563" t="n">
        <x:f>'_計算月次'!$K$13</x:f>
        <x:v>360</x:v>
      </x:c>
      <x:c r="I661" s="563" t="n">
        <x:f>(1-MAX(MIN('詳細設定'!$D$16,0.999999),0))^(B661-1)</x:f>
        <x:v>1</x:v>
      </x:c>
      <x:c r="J661" s="563" t="n">
        <x:f>MAX(G661*D661*I661,0)</x:f>
        <x:v>480.01508241613817</x:v>
      </x:c>
      <x:c r="K661" s="563" t="n">
        <x:f>MAX(MIN(J661*F661,H661),0)</x:f>
        <x:v>216.00678708726218</x:v>
      </x:c>
      <x:c r="L661" s="563" t="n">
        <x:f>MAX(J661-K661,0)</x:f>
        <x:v>264.008295328876</x:v>
      </x:c>
      <x:c r="M661" s="185" t="n">
        <x:f>MAX('詳細設定'!$D$6,0)*(1+'詳細設定'!$D$21)^(B661-1)</x:f>
        <x:v>40.23159746331679</x:v>
      </x:c>
      <x:c r="N661" s="185" t="n">
        <x:f>IF(B661&lt;=MAX(MIN('詳細設定'!$D$8,20),0),MAX('詳細設定'!$D$7,0),IF(B661&lt;=MAX(MIN('詳細設定'!$D$10,20),0),MAX('詳細設定'!$D$9,0),MAX('詳細設定'!$D$11,0)))</x:f>
        <x:v>8.3</x:v>
      </x:c>
      <x:c r="O661" s="190" t="n">
        <x:f>K661*M661</x:f>
        <x:v>8690.298107439106</x:v>
      </x:c>
      <x:c r="P661" s="190" t="n">
        <x:f>L661*N661</x:f>
        <x:v>2191.268851229671</x:v>
      </x:c>
      <x:c r="Q661" s="190" t="n">
        <x:f>O661+P661</x:f>
        <x:v>10881.566958668776</x:v>
      </x:c>
      <x:c r="R661" s="196" t="n">
        <x:f>J661-K661-L661</x:f>
        <x:v>0</x:v>
      </x:c>
    </x:row>
    <x:row r="662">
      <x:c r="A662" s="20" t="str">
        <x:v>上振れ</x:v>
      </x:c>
      <x:c r="B662" s="20" t="n">
        <x:v>15</x:v>
      </x:c>
      <x:c r="C662" s="20" t="n">
        <x:v>10</x:v>
      </x:c>
      <x:c r="D662" s="189" t="n">
        <x:v>1.1</x:v>
      </x:c>
      <x:c r="E662" s="189" t="n">
        <x:v>0.9</x:v>
      </x:c>
      <x:c r="F662" s="189" t="n">
        <x:f>MAX(MIN('詳細設定'!$D$15+0.05,1),0)</x:f>
        <x:v>0.45</x:v>
      </x:c>
      <x:c r="G662" s="563" t="n">
        <x:f>'_計算月次'!$J$14</x:f>
        <x:v>408.8269849869007</x:v>
      </x:c>
      <x:c r="H662" s="563" t="n">
        <x:f>'_計算月次'!$K$14</x:f>
        <x:v>315.00000000000006</x:v>
      </x:c>
      <x:c r="I662" s="563" t="n">
        <x:f>(1-MAX(MIN('詳細設定'!$D$16,0.999999),0))^(B662-1)</x:f>
        <x:v>1</x:v>
      </x:c>
      <x:c r="J662" s="563" t="n">
        <x:f>MAX(G662*D662*I662,0)</x:f>
        <x:v>449.7096834855908</x:v>
      </x:c>
      <x:c r="K662" s="563" t="n">
        <x:f>MAX(MIN(J662*F662,H662),0)</x:f>
        <x:v>202.36935756851585</x:v>
      </x:c>
      <x:c r="L662" s="563" t="n">
        <x:f>MAX(J662-K662,0)</x:f>
        <x:v>247.34032591707495</x:v>
      </x:c>
      <x:c r="M662" s="185" t="n">
        <x:f>MAX('詳細設定'!$D$6,0)*(1+'詳細設定'!$D$21)^(B662-1)</x:f>
        <x:v>40.23159746331679</x:v>
      </x:c>
      <x:c r="N662" s="185" t="n">
        <x:f>IF(B662&lt;=MAX(MIN('詳細設定'!$D$8,20),0),MAX('詳細設定'!$D$7,0),IF(B662&lt;=MAX(MIN('詳細設定'!$D$10,20),0),MAX('詳細設定'!$D$9,0),MAX('詳細設定'!$D$11,0)))</x:f>
        <x:v>8.3</x:v>
      </x:c>
      <x:c r="O662" s="190" t="n">
        <x:f>K662*M662</x:f>
        <x:v>8141.64253260655</x:v>
      </x:c>
      <x:c r="P662" s="190" t="n">
        <x:f>L662*N662</x:f>
        <x:v>2052.9247051117222</x:v>
      </x:c>
      <x:c r="Q662" s="190" t="n">
        <x:f>O662+P662</x:f>
        <x:v>10194.567237718273</x:v>
      </x:c>
      <x:c r="R662" s="196" t="n">
        <x:f>J662-K662-L662</x:f>
        <x:v>0</x:v>
      </x:c>
    </x:row>
    <x:row r="663">
      <x:c r="A663" s="20" t="str">
        <x:v>上振れ</x:v>
      </x:c>
      <x:c r="B663" s="20" t="n">
        <x:v>15</x:v>
      </x:c>
      <x:c r="C663" s="20" t="n">
        <x:v>11</x:v>
      </x:c>
      <x:c r="D663" s="189" t="n">
        <x:v>1.1</x:v>
      </x:c>
      <x:c r="E663" s="189" t="n">
        <x:v>0.9</x:v>
      </x:c>
      <x:c r="F663" s="189" t="n">
        <x:f>MAX(MIN('詳細設定'!$D$15+0.05,1),0)</x:f>
        <x:v>0.45</x:v>
      </x:c>
      <x:c r="G663" s="563" t="n">
        <x:f>'_計算月次'!$J$15</x:f>
        <x:v>398.45169764745054</x:v>
      </x:c>
      <x:c r="H663" s="563" t="n">
        <x:f>'_計算月次'!$K$15</x:f>
        <x:v>360</x:v>
      </x:c>
      <x:c r="I663" s="563" t="n">
        <x:f>(1-MAX(MIN('詳細設定'!$D$16,0.999999),0))^(B663-1)</x:f>
        <x:v>1</x:v>
      </x:c>
      <x:c r="J663" s="563" t="n">
        <x:f>MAX(G663*D663*I663,0)</x:f>
        <x:v>438.29686741219564</x:v>
      </x:c>
      <x:c r="K663" s="563" t="n">
        <x:f>MAX(MIN(J663*F663,H663),0)</x:f>
        <x:v>197.23359033548803</x:v>
      </x:c>
      <x:c r="L663" s="563" t="n">
        <x:f>MAX(J663-K663,0)</x:f>
        <x:v>241.0632770767076</x:v>
      </x:c>
      <x:c r="M663" s="185" t="n">
        <x:f>MAX('詳細設定'!$D$6,0)*(1+'詳細設定'!$D$21)^(B663-1)</x:f>
        <x:v>40.23159746331679</x:v>
      </x:c>
      <x:c r="N663" s="185" t="n">
        <x:f>IF(B663&lt;=MAX(MIN('詳細設定'!$D$8,20),0),MAX('詳細設定'!$D$7,0),IF(B663&lt;=MAX(MIN('詳細設定'!$D$10,20),0),MAX('詳細設定'!$D$9,0),MAX('詳細設定'!$D$11,0)))</x:f>
        <x:v>8.3</x:v>
      </x:c>
      <x:c r="O663" s="190" t="n">
        <x:f>K663*M663</x:f>
        <x:v>7935.022412622083</x:v>
      </x:c>
      <x:c r="P663" s="190" t="n">
        <x:f>L663*N663</x:f>
        <x:v>2000.8251997366733</x:v>
      </x:c>
      <x:c r="Q663" s="190" t="n">
        <x:f>O663+P663</x:f>
        <x:v>9935.847612358757</x:v>
      </x:c>
      <x:c r="R663" s="196" t="n">
        <x:f>J663-K663-L663</x:f>
        <x:v>0</x:v>
      </x:c>
    </x:row>
    <x:row r="664">
      <x:c r="A664" s="20" t="str">
        <x:v>上振れ</x:v>
      </x:c>
      <x:c r="B664" s="20" t="n">
        <x:v>15</x:v>
      </x:c>
      <x:c r="C664" s="20" t="n">
        <x:v>12</x:v>
      </x:c>
      <x:c r="D664" s="189" t="n">
        <x:v>1.1</x:v>
      </x:c>
      <x:c r="E664" s="189" t="n">
        <x:v>0.9</x:v>
      </x:c>
      <x:c r="F664" s="189" t="n">
        <x:f>MAX(MIN('詳細設定'!$D$15+0.05,1),0)</x:f>
        <x:v>0.45</x:v>
      </x:c>
      <x:c r="G664" s="563" t="n">
        <x:f>'_計算月次'!$J$16</x:f>
        <x:v>443.97248688000184</x:v>
      </x:c>
      <x:c r="H664" s="563" t="n">
        <x:f>'_計算月次'!$K$16</x:f>
        <x:v>405</x:v>
      </x:c>
      <x:c r="I664" s="563" t="n">
        <x:f>(1-MAX(MIN('詳細設定'!$D$16,0.999999),0))^(B664-1)</x:f>
        <x:v>1</x:v>
      </x:c>
      <x:c r="J664" s="563" t="n">
        <x:f>MAX(G664*D664*I664,0)</x:f>
        <x:v>488.36973556800206</x:v>
      </x:c>
      <x:c r="K664" s="563" t="n">
        <x:f>MAX(MIN(J664*F664,H664),0)</x:f>
        <x:v>219.76638100560092</x:v>
      </x:c>
      <x:c r="L664" s="563" t="n">
        <x:f>MAX(J664-K664,0)</x:f>
        <x:v>268.60335456240114</x:v>
      </x:c>
      <x:c r="M664" s="185" t="n">
        <x:f>MAX('詳細設定'!$D$6,0)*(1+'詳細設定'!$D$21)^(B664-1)</x:f>
        <x:v>40.23159746331679</x:v>
      </x:c>
      <x:c r="N664" s="185" t="n">
        <x:f>IF(B664&lt;=MAX(MIN('詳細設定'!$D$8,20),0),MAX('詳細設定'!$D$7,0),IF(B664&lt;=MAX(MIN('詳細設定'!$D$10,20),0),MAX('詳細設定'!$D$9,0),MAX('詳細設定'!$D$11,0)))</x:f>
        <x:v>8.3</x:v>
      </x:c>
      <x:c r="O664" s="190" t="n">
        <x:f>K664*M664</x:f>
        <x:v>8841.552576587244</x:v>
      </x:c>
      <x:c r="P664" s="190" t="n">
        <x:f>L664*N664</x:f>
        <x:v>2229.4078428679295</x:v>
      </x:c>
      <x:c r="Q664" s="190" t="n">
        <x:f>O664+P664</x:f>
        <x:v>11070.960419455174</x:v>
      </x:c>
      <x:c r="R664" s="196" t="n">
        <x:f>J664-K664-L664</x:f>
        <x:v>0</x:v>
      </x:c>
    </x:row>
    <x:row r="665">
      <x:c r="A665" s="20" t="str">
        <x:v>上振れ</x:v>
      </x:c>
      <x:c r="B665" s="20" t="n">
        <x:v>16</x:v>
      </x:c>
      <x:c r="C665" s="20" t="n">
        <x:v>1</x:v>
      </x:c>
      <x:c r="D665" s="189" t="n">
        <x:v>1.1</x:v>
      </x:c>
      <x:c r="E665" s="189" t="n">
        <x:v>0.9</x:v>
      </x:c>
      <x:c r="F665" s="189" t="n">
        <x:f>MAX(MIN('詳細設定'!$D$15+0.05,1),0)</x:f>
        <x:v>0.45</x:v>
      </x:c>
      <x:c r="G665" s="563" t="n">
        <x:f>'_計算月次'!$J$5</x:f>
        <x:v>502.4147595742038</x:v>
      </x:c>
      <x:c r="H665" s="563" t="n">
        <x:f>'_計算月次'!$K$5</x:f>
        <x:v>450</x:v>
      </x:c>
      <x:c r="I665" s="563" t="n">
        <x:f>(1-MAX(MIN('詳細設定'!$D$16,0.999999),0))^(B665-1)</x:f>
        <x:v>1</x:v>
      </x:c>
      <x:c r="J665" s="563" t="n">
        <x:f>MAX(G665*D665*I665,0)</x:f>
        <x:v>552.6562355316242</x:v>
      </x:c>
      <x:c r="K665" s="563" t="n">
        <x:f>MAX(MIN(J665*F665,H665),0)</x:f>
        <x:v>248.69530598923092</x:v>
      </x:c>
      <x:c r="L665" s="563" t="n">
        <x:f>MAX(J665-K665,0)</x:f>
        <x:v>303.96092954239333</x:v>
      </x:c>
      <x:c r="M665" s="185" t="n">
        <x:f>MAX('詳細設定'!$D$6,0)*(1+'詳細設定'!$D$21)^(B665-1)</x:f>
        <x:v>40.63391343794996</x:v>
      </x:c>
      <x:c r="N665" s="185" t="n">
        <x:f>IF(B665&lt;=MAX(MIN('詳細設定'!$D$8,20),0),MAX('詳細設定'!$D$7,0),IF(B665&lt;=MAX(MIN('詳細設定'!$D$10,20),0),MAX('詳細設定'!$D$9,0),MAX('詳細設定'!$D$11,0)))</x:f>
        <x:v>8.3</x:v>
      </x:c>
      <x:c r="O665" s="190" t="n">
        <x:f>K665*M665</x:f>
        <x:v>10105.463535990886</x:v>
      </x:c>
      <x:c r="P665" s="190" t="n">
        <x:f>L665*N665</x:f>
        <x:v>2522.8757152018648</x:v>
      </x:c>
      <x:c r="Q665" s="190" t="n">
        <x:f>O665+P665</x:f>
        <x:v>12628.33925119275</x:v>
      </x:c>
      <x:c r="R665" s="196" t="n">
        <x:f>J665-K665-L665</x:f>
        <x:v>0</x:v>
      </x:c>
    </x:row>
    <x:row r="666">
      <x:c r="A666" s="20" t="str">
        <x:v>上振れ</x:v>
      </x:c>
      <x:c r="B666" s="20" t="n">
        <x:v>16</x:v>
      </x:c>
      <x:c r="C666" s="20" t="n">
        <x:v>2</x:v>
      </x:c>
      <x:c r="D666" s="189" t="n">
        <x:v>1.1</x:v>
      </x:c>
      <x:c r="E666" s="189" t="n">
        <x:v>0.9</x:v>
      </x:c>
      <x:c r="F666" s="189" t="n">
        <x:f>MAX(MIN('詳細設定'!$D$15+0.05,1),0)</x:f>
        <x:v>0.45</x:v>
      </x:c>
      <x:c r="G666" s="563" t="n">
        <x:f>'_計算月次'!$J$6</x:f>
        <x:v>472.4508339500229</x:v>
      </x:c>
      <x:c r="H666" s="563" t="n">
        <x:f>'_計算月次'!$K$6</x:f>
        <x:v>405</x:v>
      </x:c>
      <x:c r="I666" s="563" t="n">
        <x:f>(1-MAX(MIN('詳細設定'!$D$16,0.999999),0))^(B666-1)</x:f>
        <x:v>1</x:v>
      </x:c>
      <x:c r="J666" s="563" t="n">
        <x:f>MAX(G666*D666*I666,0)</x:f>
        <x:v>519.6959173450252</x:v>
      </x:c>
      <x:c r="K666" s="563" t="n">
        <x:f>MAX(MIN(J666*F666,H666),0)</x:f>
        <x:v>233.86316280526137</x:v>
      </x:c>
      <x:c r="L666" s="563" t="n">
        <x:f>MAX(J666-K666,0)</x:f>
        <x:v>285.83275453976387</x:v>
      </x:c>
      <x:c r="M666" s="185" t="n">
        <x:f>MAX('詳細設定'!$D$6,0)*(1+'詳細設定'!$D$21)^(B666-1)</x:f>
        <x:v>40.63391343794996</x:v>
      </x:c>
      <x:c r="N666" s="185" t="n">
        <x:f>IF(B666&lt;=MAX(MIN('詳細設定'!$D$8,20),0),MAX('詳細設定'!$D$7,0),IF(B666&lt;=MAX(MIN('詳細設定'!$D$10,20),0),MAX('詳細設定'!$D$9,0),MAX('詳細設定'!$D$11,0)))</x:f>
        <x:v>8.3</x:v>
      </x:c>
      <x:c r="O666" s="190" t="n">
        <x:f>K666*M666</x:f>
        <x:v>9502.775513754188</x:v>
      </x:c>
      <x:c r="P666" s="190" t="n">
        <x:f>L666*N666</x:f>
        <x:v>2372.4118626800405</x:v>
      </x:c>
      <x:c r="Q666" s="190" t="n">
        <x:f>O666+P666</x:f>
        <x:v>11875.187376434229</x:v>
      </x:c>
      <x:c r="R666" s="196" t="n">
        <x:f>J666-K666-L666</x:f>
        <x:v>0</x:v>
      </x:c>
    </x:row>
    <x:row r="667">
      <x:c r="A667" s="20" t="str">
        <x:v>上振れ</x:v>
      </x:c>
      <x:c r="B667" s="20" t="n">
        <x:v>16</x:v>
      </x:c>
      <x:c r="C667" s="20" t="n">
        <x:v>3</x:v>
      </x:c>
      <x:c r="D667" s="189" t="n">
        <x:v>1.1</x:v>
      </x:c>
      <x:c r="E667" s="189" t="n">
        <x:v>0.9</x:v>
      </x:c>
      <x:c r="F667" s="189" t="n">
        <x:f>MAX(MIN('詳細設定'!$D$15+0.05,1),0)</x:f>
        <x:v>0.45</x:v>
      </x:c>
      <x:c r="G667" s="563" t="n">
        <x:f>'_計算月次'!$J$7</x:f>
        <x:v>548.3418864753118</x:v>
      </x:c>
      <x:c r="H667" s="563" t="n">
        <x:f>'_計算月次'!$K$7</x:f>
        <x:v>360</x:v>
      </x:c>
      <x:c r="I667" s="563" t="n">
        <x:f>(1-MAX(MIN('詳細設定'!$D$16,0.999999),0))^(B667-1)</x:f>
        <x:v>1</x:v>
      </x:c>
      <x:c r="J667" s="563" t="n">
        <x:f>MAX(G667*D667*I667,0)</x:f>
        <x:v>603.176075122843</x:v>
      </x:c>
      <x:c r="K667" s="563" t="n">
        <x:f>MAX(MIN(J667*F667,H667),0)</x:f>
        <x:v>271.42923380527935</x:v>
      </x:c>
      <x:c r="L667" s="563" t="n">
        <x:f>MAX(J667-K667,0)</x:f>
        <x:v>331.7468413175637</x:v>
      </x:c>
      <x:c r="M667" s="185" t="n">
        <x:f>MAX('詳細設定'!$D$6,0)*(1+'詳細設定'!$D$21)^(B667-1)</x:f>
        <x:v>40.63391343794996</x:v>
      </x:c>
      <x:c r="N667" s="185" t="n">
        <x:f>IF(B667&lt;=MAX(MIN('詳細設定'!$D$8,20),0),MAX('詳細設定'!$D$7,0),IF(B667&lt;=MAX(MIN('詳細設定'!$D$10,20),0),MAX('詳細設定'!$D$9,0),MAX('詳細設定'!$D$11,0)))</x:f>
        <x:v>8.3</x:v>
      </x:c>
      <x:c r="O667" s="190" t="n">
        <x:f>K667*M667</x:f>
        <x:v>11029.231990972801</x:v>
      </x:c>
      <x:c r="P667" s="190" t="n">
        <x:f>L667*N667</x:f>
        <x:v>2753.4987829357788</x:v>
      </x:c>
      <x:c r="Q667" s="190" t="n">
        <x:f>O667+P667</x:f>
        <x:v>13782.73077390858</x:v>
      </x:c>
      <x:c r="R667" s="196" t="n">
        <x:f>J667-K667-L667</x:f>
        <x:v>0</x:v>
      </x:c>
    </x:row>
    <x:row r="668">
      <x:c r="A668" s="20" t="str">
        <x:v>上振れ</x:v>
      </x:c>
      <x:c r="B668" s="20" t="n">
        <x:v>16</x:v>
      </x:c>
      <x:c r="C668" s="20" t="n">
        <x:v>4</x:v>
      </x:c>
      <x:c r="D668" s="189" t="n">
        <x:v>1.1</x:v>
      </x:c>
      <x:c r="E668" s="189" t="n">
        <x:v>0.9</x:v>
      </x:c>
      <x:c r="F668" s="189" t="n">
        <x:f>MAX(MIN('詳細設定'!$D$15+0.05,1),0)</x:f>
        <x:v>0.45</x:v>
      </x:c>
      <x:c r="G668" s="563" t="n">
        <x:f>'_計算月次'!$J$8</x:f>
        <x:v>548.3944393749554</x:v>
      </x:c>
      <x:c r="H668" s="563" t="n">
        <x:f>'_計算月次'!$K$8</x:f>
        <x:v>315.00000000000006</x:v>
      </x:c>
      <x:c r="I668" s="563" t="n">
        <x:f>(1-MAX(MIN('詳細設定'!$D$16,0.999999),0))^(B668-1)</x:f>
        <x:v>1</x:v>
      </x:c>
      <x:c r="J668" s="563" t="n">
        <x:f>MAX(G668*D668*I668,0)</x:f>
        <x:v>603.233883312451</x:v>
      </x:c>
      <x:c r="K668" s="563" t="n">
        <x:f>MAX(MIN(J668*F668,H668),0)</x:f>
        <x:v>271.45524749060297</x:v>
      </x:c>
      <x:c r="L668" s="563" t="n">
        <x:f>MAX(J668-K668,0)</x:f>
        <x:v>331.778635821848</x:v>
      </x:c>
      <x:c r="M668" s="185" t="n">
        <x:f>MAX('詳細設定'!$D$6,0)*(1+'詳細設定'!$D$21)^(B668-1)</x:f>
        <x:v>40.63391343794996</x:v>
      </x:c>
      <x:c r="N668" s="185" t="n">
        <x:f>IF(B668&lt;=MAX(MIN('詳細設定'!$D$8,20),0),MAX('詳細設定'!$D$7,0),IF(B668&lt;=MAX(MIN('詳細設定'!$D$10,20),0),MAX('詳細設定'!$D$9,0),MAX('詳細設定'!$D$11,0)))</x:f>
        <x:v>8.3</x:v>
      </x:c>
      <x:c r="O668" s="190" t="n">
        <x:f>K668*M668</x:f>
        <x:v>11030.289028810443</x:v>
      </x:c>
      <x:c r="P668" s="190" t="n">
        <x:f>L668*N668</x:f>
        <x:v>2753.7626773213387</x:v>
      </x:c>
      <x:c r="Q668" s="190" t="n">
        <x:f>O668+P668</x:f>
        <x:v>13784.05170613178</x:v>
      </x:c>
      <x:c r="R668" s="196" t="n">
        <x:f>J668-K668-L668</x:f>
        <x:v>0</x:v>
      </x:c>
    </x:row>
    <x:row r="669">
      <x:c r="A669" s="20" t="str">
        <x:v>上振れ</x:v>
      </x:c>
      <x:c r="B669" s="20" t="n">
        <x:v>16</x:v>
      </x:c>
      <x:c r="C669" s="20" t="n">
        <x:v>5</x:v>
      </x:c>
      <x:c r="D669" s="189" t="n">
        <x:v>1.1</x:v>
      </x:c>
      <x:c r="E669" s="189" t="n">
        <x:v>0.9</x:v>
      </x:c>
      <x:c r="F669" s="189" t="n">
        <x:f>MAX(MIN('詳細設定'!$D$15+0.05,1),0)</x:f>
        <x:v>0.45</x:v>
      </x:c>
      <x:c r="G669" s="563" t="n">
        <x:f>'_計算月次'!$J$9</x:f>
        <x:v>552.2367574934775</x:v>
      </x:c>
      <x:c r="H669" s="563" t="n">
        <x:f>'_計算月次'!$K$9</x:f>
        <x:v>315.00000000000006</x:v>
      </x:c>
      <x:c r="I669" s="563" t="n">
        <x:f>(1-MAX(MIN('詳細設定'!$D$16,0.999999),0))^(B669-1)</x:f>
        <x:v>1</x:v>
      </x:c>
      <x:c r="J669" s="563" t="n">
        <x:f>MAX(G669*D669*I669,0)</x:f>
        <x:v>607.4604332428253</x:v>
      </x:c>
      <x:c r="K669" s="563" t="n">
        <x:f>MAX(MIN(J669*F669,H669),0)</x:f>
        <x:v>273.3571949592714</x:v>
      </x:c>
      <x:c r="L669" s="563" t="n">
        <x:f>MAX(J669-K669,0)</x:f>
        <x:v>334.1032382835539</x:v>
      </x:c>
      <x:c r="M669" s="185" t="n">
        <x:f>MAX('詳細設定'!$D$6,0)*(1+'詳細設定'!$D$21)^(B669-1)</x:f>
        <x:v>40.63391343794996</x:v>
      </x:c>
      <x:c r="N669" s="185" t="n">
        <x:f>IF(B669&lt;=MAX(MIN('詳細設定'!$D$8,20),0),MAX('詳細設定'!$D$7,0),IF(B669&lt;=MAX(MIN('詳細設定'!$D$10,20),0),MAX('詳細設定'!$D$9,0),MAX('詳細設定'!$D$11,0)))</x:f>
        <x:v>8.3</x:v>
      </x:c>
      <x:c r="O669" s="190" t="n">
        <x:f>K669*M669</x:f>
        <x:v>11107.572597615845</x:v>
      </x:c>
      <x:c r="P669" s="190" t="n">
        <x:f>L669*N669</x:f>
        <x:v>2773.0568777534972</x:v>
      </x:c>
      <x:c r="Q669" s="190" t="n">
        <x:f>O669+P669</x:f>
        <x:v>13880.629475369342</x:v>
      </x:c>
      <x:c r="R669" s="196" t="n">
        <x:f>J669-K669-L669</x:f>
        <x:v>0</x:v>
      </x:c>
    </x:row>
    <x:row r="670">
      <x:c r="A670" s="20" t="str">
        <x:v>上振れ</x:v>
      </x:c>
      <x:c r="B670" s="20" t="n">
        <x:v>16</x:v>
      </x:c>
      <x:c r="C670" s="20" t="n">
        <x:v>6</x:v>
      </x:c>
      <x:c r="D670" s="189" t="n">
        <x:v>1.1</x:v>
      </x:c>
      <x:c r="E670" s="189" t="n">
        <x:v>0.9</x:v>
      </x:c>
      <x:c r="F670" s="189" t="n">
        <x:f>MAX(MIN('詳細設定'!$D$15+0.05,1),0)</x:f>
        <x:v>0.45</x:v>
      </x:c>
      <x:c r="G670" s="563" t="n">
        <x:f>'_計算月次'!$J$10</x:f>
        <x:v>448.7994857612148</x:v>
      </x:c>
      <x:c r="H670" s="563" t="n">
        <x:f>'_計算月次'!$K$10</x:f>
        <x:v>360</x:v>
      </x:c>
      <x:c r="I670" s="563" t="n">
        <x:f>(1-MAX(MIN('詳細設定'!$D$16,0.999999),0))^(B670-1)</x:f>
        <x:v>1</x:v>
      </x:c>
      <x:c r="J670" s="563" t="n">
        <x:f>MAX(G670*D670*I670,0)</x:f>
        <x:v>493.6794343373363</x:v>
      </x:c>
      <x:c r="K670" s="563" t="n">
        <x:f>MAX(MIN(J670*F670,H670),0)</x:f>
        <x:v>222.15574545180135</x:v>
      </x:c>
      <x:c r="L670" s="563" t="n">
        <x:f>MAX(J670-K670,0)</x:f>
        <x:v>271.52368888553497</x:v>
      </x:c>
      <x:c r="M670" s="185" t="n">
        <x:f>MAX('詳細設定'!$D$6,0)*(1+'詳細設定'!$D$21)^(B670-1)</x:f>
        <x:v>40.63391343794996</x:v>
      </x:c>
      <x:c r="N670" s="185" t="n">
        <x:f>IF(B670&lt;=MAX(MIN('詳細設定'!$D$8,20),0),MAX('詳細設定'!$D$7,0),IF(B670&lt;=MAX(MIN('詳細設定'!$D$10,20),0),MAX('詳細設定'!$D$9,0),MAX('詳細設定'!$D$11,0)))</x:f>
        <x:v>8.3</x:v>
      </x:c>
      <x:c r="O670" s="190" t="n">
        <x:f>K670*M670</x:f>
        <x:v>9027.05733043174</x:v>
      </x:c>
      <x:c r="P670" s="190" t="n">
        <x:f>L670*N670</x:f>
        <x:v>2253.6466177499406</x:v>
      </x:c>
      <x:c r="Q670" s="190" t="n">
        <x:f>O670+P670</x:f>
        <x:v>11280.703948181681</x:v>
      </x:c>
      <x:c r="R670" s="196" t="n">
        <x:f>J670-K670-L670</x:f>
        <x:v>0</x:v>
      </x:c>
    </x:row>
    <x:row r="671">
      <x:c r="A671" s="20" t="str">
        <x:v>上振れ</x:v>
      </x:c>
      <x:c r="B671" s="20" t="n">
        <x:v>16</x:v>
      </x:c>
      <x:c r="C671" s="20" t="n">
        <x:v>7</x:v>
      </x:c>
      <x:c r="D671" s="189" t="n">
        <x:v>1.1</x:v>
      </x:c>
      <x:c r="E671" s="189" t="n">
        <x:v>0.9</x:v>
      </x:c>
      <x:c r="F671" s="189" t="n">
        <x:f>MAX(MIN('詳細設定'!$D$15+0.05,1),0)</x:f>
        <x:v>0.45</x:v>
      </x:c>
      <x:c r="G671" s="563" t="n">
        <x:f>'_計算月次'!$J$11</x:f>
        <x:v>476.0181638067866</x:v>
      </x:c>
      <x:c r="H671" s="563" t="n">
        <x:f>'_計算月次'!$K$11</x:f>
        <x:v>405</x:v>
      </x:c>
      <x:c r="I671" s="563" t="n">
        <x:f>(1-MAX(MIN('詳細設定'!$D$16,0.999999),0))^(B671-1)</x:f>
        <x:v>1</x:v>
      </x:c>
      <x:c r="J671" s="563" t="n">
        <x:f>MAX(G671*D671*I671,0)</x:f>
        <x:v>523.6199801874653</x:v>
      </x:c>
      <x:c r="K671" s="563" t="n">
        <x:f>MAX(MIN(J671*F671,H671),0)</x:f>
        <x:v>235.6289910843594</x:v>
      </x:c>
      <x:c r="L671" s="563" t="n">
        <x:f>MAX(J671-K671,0)</x:f>
        <x:v>287.9909891031059</x:v>
      </x:c>
      <x:c r="M671" s="185" t="n">
        <x:f>MAX('詳細設定'!$D$6,0)*(1+'詳細設定'!$D$21)^(B671-1)</x:f>
        <x:v>40.63391343794996</x:v>
      </x:c>
      <x:c r="N671" s="185" t="n">
        <x:f>IF(B671&lt;=MAX(MIN('詳細設定'!$D$8,20),0),MAX('詳細設定'!$D$7,0),IF(B671&lt;=MAX(MIN('詳細設定'!$D$10,20),0),MAX('詳細設定'!$D$9,0),MAX('詳細設定'!$D$11,0)))</x:f>
        <x:v>8.3</x:v>
      </x:c>
      <x:c r="O671" s="190" t="n">
        <x:f>K671*M671</x:f>
        <x:v>9574.528027193342</x:v>
      </x:c>
      <x:c r="P671" s="190" t="n">
        <x:f>L671*N671</x:f>
        <x:v>2390.325209555779</x:v>
      </x:c>
      <x:c r="Q671" s="190" t="n">
        <x:f>O671+P671</x:f>
        <x:v>11964.85323674912</x:v>
      </x:c>
      <x:c r="R671" s="196" t="n">
        <x:f>J671-K671-L671</x:f>
        <x:v>0</x:v>
      </x:c>
    </x:row>
    <x:row r="672">
      <x:c r="A672" s="20" t="str">
        <x:v>上振れ</x:v>
      </x:c>
      <x:c r="B672" s="20" t="n">
        <x:v>16</x:v>
      </x:c>
      <x:c r="C672" s="20" t="n">
        <x:v>8</x:v>
      </x:c>
      <x:c r="D672" s="189" t="n">
        <x:v>1.1</x:v>
      </x:c>
      <x:c r="E672" s="189" t="n">
        <x:v>0.9</x:v>
      </x:c>
      <x:c r="F672" s="189" t="n">
        <x:f>MAX(MIN('詳細設定'!$D$15+0.05,1),0)</x:f>
        <x:v>0.45</x:v>
      </x:c>
      <x:c r="G672" s="563" t="n">
        <x:f>'_計算月次'!$J$12</x:f>
        <x:v>528.6548067323699</x:v>
      </x:c>
      <x:c r="H672" s="563" t="n">
        <x:f>'_計算月次'!$K$12</x:f>
        <x:v>450</x:v>
      </x:c>
      <x:c r="I672" s="563" t="n">
        <x:f>(1-MAX(MIN('詳細設定'!$D$16,0.999999),0))^(B672-1)</x:f>
        <x:v>1</x:v>
      </x:c>
      <x:c r="J672" s="563" t="n">
        <x:f>MAX(G672*D672*I672,0)</x:f>
        <x:v>581.520287405607</x:v>
      </x:c>
      <x:c r="K672" s="563" t="n">
        <x:f>MAX(MIN(J672*F672,H672),0)</x:f>
        <x:v>261.6841293325231</x:v>
      </x:c>
      <x:c r="L672" s="563" t="n">
        <x:f>MAX(J672-K672,0)</x:f>
        <x:v>319.8361580730838</x:v>
      </x:c>
      <x:c r="M672" s="185" t="n">
        <x:f>MAX('詳細設定'!$D$6,0)*(1+'詳細設定'!$D$21)^(B672-1)</x:f>
        <x:v>40.63391343794996</x:v>
      </x:c>
      <x:c r="N672" s="185" t="n">
        <x:f>IF(B672&lt;=MAX(MIN('詳細設定'!$D$8,20),0),MAX('詳細設定'!$D$7,0),IF(B672&lt;=MAX(MIN('詳細設定'!$D$10,20),0),MAX('詳細設定'!$D$9,0),MAX('詳細設定'!$D$11,0)))</x:f>
        <x:v>8.3</x:v>
      </x:c>
      <x:c r="O672" s="190" t="n">
        <x:f>K672*M672</x:f>
        <x:v>10633.250259383047</x:v>
      </x:c>
      <x:c r="P672" s="190" t="n">
        <x:f>L672*N672</x:f>
        <x:v>2654.640112006596</x:v>
      </x:c>
      <x:c r="Q672" s="190" t="n">
        <x:f>O672+P672</x:f>
        <x:v>13287.890371389643</x:v>
      </x:c>
      <x:c r="R672" s="196" t="n">
        <x:f>J672-K672-L672</x:f>
        <x:v>0</x:v>
      </x:c>
    </x:row>
    <x:row r="673">
      <x:c r="A673" s="20" t="str">
        <x:v>上振れ</x:v>
      </x:c>
      <x:c r="B673" s="20" t="n">
        <x:v>16</x:v>
      </x:c>
      <x:c r="C673" s="20" t="n">
        <x:v>9</x:v>
      </x:c>
      <x:c r="D673" s="189" t="n">
        <x:v>1.1</x:v>
      </x:c>
      <x:c r="E673" s="189" t="n">
        <x:v>0.9</x:v>
      </x:c>
      <x:c r="F673" s="189" t="n">
        <x:f>MAX(MIN('詳細設定'!$D$15+0.05,1),0)</x:f>
        <x:v>0.45</x:v>
      </x:c>
      <x:c r="G673" s="563" t="n">
        <x:f>'_計算月次'!$J$13</x:f>
        <x:v>436.37734765103465</x:v>
      </x:c>
      <x:c r="H673" s="563" t="n">
        <x:f>'_計算月次'!$K$13</x:f>
        <x:v>360</x:v>
      </x:c>
      <x:c r="I673" s="563" t="n">
        <x:f>(1-MAX(MIN('詳細設定'!$D$16,0.999999),0))^(B673-1)</x:f>
        <x:v>1</x:v>
      </x:c>
      <x:c r="J673" s="563" t="n">
        <x:f>MAX(G673*D673*I673,0)</x:f>
        <x:v>480.01508241613817</x:v>
      </x:c>
      <x:c r="K673" s="563" t="n">
        <x:f>MAX(MIN(J673*F673,H673),0)</x:f>
        <x:v>216.00678708726218</x:v>
      </x:c>
      <x:c r="L673" s="563" t="n">
        <x:f>MAX(J673-K673,0)</x:f>
        <x:v>264.008295328876</x:v>
      </x:c>
      <x:c r="M673" s="185" t="n">
        <x:f>MAX('詳細設定'!$D$6,0)*(1+'詳細設定'!$D$21)^(B673-1)</x:f>
        <x:v>40.63391343794996</x:v>
      </x:c>
      <x:c r="N673" s="185" t="n">
        <x:f>IF(B673&lt;=MAX(MIN('詳細設定'!$D$8,20),0),MAX('詳細設定'!$D$7,0),IF(B673&lt;=MAX(MIN('詳細設定'!$D$10,20),0),MAX('詳細設定'!$D$9,0),MAX('詳細設定'!$D$11,0)))</x:f>
        <x:v>8.3</x:v>
      </x:c>
      <x:c r="O673" s="190" t="n">
        <x:f>K673*M673</x:f>
        <x:v>8777.201088513499</x:v>
      </x:c>
      <x:c r="P673" s="190" t="n">
        <x:f>L673*N673</x:f>
        <x:v>2191.268851229671</x:v>
      </x:c>
      <x:c r="Q673" s="190" t="n">
        <x:f>O673+P673</x:f>
        <x:v>10968.469939743169</x:v>
      </x:c>
      <x:c r="R673" s="196" t="n">
        <x:f>J673-K673-L673</x:f>
        <x:v>0</x:v>
      </x:c>
    </x:row>
    <x:row r="674">
      <x:c r="A674" s="20" t="str">
        <x:v>上振れ</x:v>
      </x:c>
      <x:c r="B674" s="20" t="n">
        <x:v>16</x:v>
      </x:c>
      <x:c r="C674" s="20" t="n">
        <x:v>10</x:v>
      </x:c>
      <x:c r="D674" s="189" t="n">
        <x:v>1.1</x:v>
      </x:c>
      <x:c r="E674" s="189" t="n">
        <x:v>0.9</x:v>
      </x:c>
      <x:c r="F674" s="189" t="n">
        <x:f>MAX(MIN('詳細設定'!$D$15+0.05,1),0)</x:f>
        <x:v>0.45</x:v>
      </x:c>
      <x:c r="G674" s="563" t="n">
        <x:f>'_計算月次'!$J$14</x:f>
        <x:v>408.8269849869007</x:v>
      </x:c>
      <x:c r="H674" s="563" t="n">
        <x:f>'_計算月次'!$K$14</x:f>
        <x:v>315.00000000000006</x:v>
      </x:c>
      <x:c r="I674" s="563" t="n">
        <x:f>(1-MAX(MIN('詳細設定'!$D$16,0.999999),0))^(B674-1)</x:f>
        <x:v>1</x:v>
      </x:c>
      <x:c r="J674" s="563" t="n">
        <x:f>MAX(G674*D674*I674,0)</x:f>
        <x:v>449.7096834855908</x:v>
      </x:c>
      <x:c r="K674" s="563" t="n">
        <x:f>MAX(MIN(J674*F674,H674),0)</x:f>
        <x:v>202.36935756851585</x:v>
      </x:c>
      <x:c r="L674" s="563" t="n">
        <x:f>MAX(J674-K674,0)</x:f>
        <x:v>247.34032591707495</x:v>
      </x:c>
      <x:c r="M674" s="185" t="n">
        <x:f>MAX('詳細設定'!$D$6,0)*(1+'詳細設定'!$D$21)^(B674-1)</x:f>
        <x:v>40.63391343794996</x:v>
      </x:c>
      <x:c r="N674" s="185" t="n">
        <x:f>IF(B674&lt;=MAX(MIN('詳細設定'!$D$8,20),0),MAX('詳細設定'!$D$7,0),IF(B674&lt;=MAX(MIN('詳細設定'!$D$10,20),0),MAX('詳細設定'!$D$9,0),MAX('詳細設定'!$D$11,0)))</x:f>
        <x:v>8.3</x:v>
      </x:c>
      <x:c r="O674" s="190" t="n">
        <x:f>K674*M674</x:f>
        <x:v>8223.058957932617</x:v>
      </x:c>
      <x:c r="P674" s="190" t="n">
        <x:f>L674*N674</x:f>
        <x:v>2052.9247051117222</x:v>
      </x:c>
      <x:c r="Q674" s="190" t="n">
        <x:f>O674+P674</x:f>
        <x:v>10275.983663044339</x:v>
      </x:c>
      <x:c r="R674" s="196" t="n">
        <x:f>J674-K674-L674</x:f>
        <x:v>0</x:v>
      </x:c>
    </x:row>
    <x:row r="675">
      <x:c r="A675" s="20" t="str">
        <x:v>上振れ</x:v>
      </x:c>
      <x:c r="B675" s="20" t="n">
        <x:v>16</x:v>
      </x:c>
      <x:c r="C675" s="20" t="n">
        <x:v>11</x:v>
      </x:c>
      <x:c r="D675" s="189" t="n">
        <x:v>1.1</x:v>
      </x:c>
      <x:c r="E675" s="189" t="n">
        <x:v>0.9</x:v>
      </x:c>
      <x:c r="F675" s="189" t="n">
        <x:f>MAX(MIN('詳細設定'!$D$15+0.05,1),0)</x:f>
        <x:v>0.45</x:v>
      </x:c>
      <x:c r="G675" s="563" t="n">
        <x:f>'_計算月次'!$J$15</x:f>
        <x:v>398.45169764745054</x:v>
      </x:c>
      <x:c r="H675" s="563" t="n">
        <x:f>'_計算月次'!$K$15</x:f>
        <x:v>360</x:v>
      </x:c>
      <x:c r="I675" s="563" t="n">
        <x:f>(1-MAX(MIN('詳細設定'!$D$16,0.999999),0))^(B675-1)</x:f>
        <x:v>1</x:v>
      </x:c>
      <x:c r="J675" s="563" t="n">
        <x:f>MAX(G675*D675*I675,0)</x:f>
        <x:v>438.29686741219564</x:v>
      </x:c>
      <x:c r="K675" s="563" t="n">
        <x:f>MAX(MIN(J675*F675,H675),0)</x:f>
        <x:v>197.23359033548803</x:v>
      </x:c>
      <x:c r="L675" s="563" t="n">
        <x:f>MAX(J675-K675,0)</x:f>
        <x:v>241.0632770767076</x:v>
      </x:c>
      <x:c r="M675" s="185" t="n">
        <x:f>MAX('詳細設定'!$D$6,0)*(1+'詳細設定'!$D$21)^(B675-1)</x:f>
        <x:v>40.63391343794996</x:v>
      </x:c>
      <x:c r="N675" s="185" t="n">
        <x:f>IF(B675&lt;=MAX(MIN('詳細設定'!$D$8,20),0),MAX('詳細設定'!$D$7,0),IF(B675&lt;=MAX(MIN('詳細設定'!$D$10,20),0),MAX('詳細設定'!$D$9,0),MAX('詳細設定'!$D$11,0)))</x:f>
        <x:v>8.3</x:v>
      </x:c>
      <x:c r="O675" s="190" t="n">
        <x:f>K675*M675</x:f>
        <x:v>8014.372636748304</x:v>
      </x:c>
      <x:c r="P675" s="190" t="n">
        <x:f>L675*N675</x:f>
        <x:v>2000.8251997366733</x:v>
      </x:c>
      <x:c r="Q675" s="190" t="n">
        <x:f>O675+P675</x:f>
        <x:v>10015.197836484978</x:v>
      </x:c>
      <x:c r="R675" s="196" t="n">
        <x:f>J675-K675-L675</x:f>
        <x:v>0</x:v>
      </x:c>
    </x:row>
    <x:row r="676">
      <x:c r="A676" s="20" t="str">
        <x:v>上振れ</x:v>
      </x:c>
      <x:c r="B676" s="20" t="n">
        <x:v>16</x:v>
      </x:c>
      <x:c r="C676" s="20" t="n">
        <x:v>12</x:v>
      </x:c>
      <x:c r="D676" s="189" t="n">
        <x:v>1.1</x:v>
      </x:c>
      <x:c r="E676" s="189" t="n">
        <x:v>0.9</x:v>
      </x:c>
      <x:c r="F676" s="189" t="n">
        <x:f>MAX(MIN('詳細設定'!$D$15+0.05,1),0)</x:f>
        <x:v>0.45</x:v>
      </x:c>
      <x:c r="G676" s="563" t="n">
        <x:f>'_計算月次'!$J$16</x:f>
        <x:v>443.97248688000184</x:v>
      </x:c>
      <x:c r="H676" s="563" t="n">
        <x:f>'_計算月次'!$K$16</x:f>
        <x:v>405</x:v>
      </x:c>
      <x:c r="I676" s="563" t="n">
        <x:f>(1-MAX(MIN('詳細設定'!$D$16,0.999999),0))^(B676-1)</x:f>
        <x:v>1</x:v>
      </x:c>
      <x:c r="J676" s="563" t="n">
        <x:f>MAX(G676*D676*I676,0)</x:f>
        <x:v>488.36973556800206</x:v>
      </x:c>
      <x:c r="K676" s="563" t="n">
        <x:f>MAX(MIN(J676*F676,H676),0)</x:f>
        <x:v>219.76638100560092</x:v>
      </x:c>
      <x:c r="L676" s="563" t="n">
        <x:f>MAX(J676-K676,0)</x:f>
        <x:v>268.60335456240114</x:v>
      </x:c>
      <x:c r="M676" s="185" t="n">
        <x:f>MAX('詳細設定'!$D$6,0)*(1+'詳細設定'!$D$21)^(B676-1)</x:f>
        <x:v>40.63391343794996</x:v>
      </x:c>
      <x:c r="N676" s="185" t="n">
        <x:f>IF(B676&lt;=MAX(MIN('詳細設定'!$D$8,20),0),MAX('詳細設定'!$D$7,0),IF(B676&lt;=MAX(MIN('詳細設定'!$D$10,20),0),MAX('詳細設定'!$D$9,0),MAX('詳細設定'!$D$11,0)))</x:f>
        <x:v>8.3</x:v>
      </x:c>
      <x:c r="O676" s="190" t="n">
        <x:f>K676*M676</x:f>
        <x:v>8929.968102353118</x:v>
      </x:c>
      <x:c r="P676" s="190" t="n">
        <x:f>L676*N676</x:f>
        <x:v>2229.4078428679295</x:v>
      </x:c>
      <x:c r="Q676" s="190" t="n">
        <x:f>O676+P676</x:f>
        <x:v>11159.375945221047</x:v>
      </x:c>
      <x:c r="R676" s="196" t="n">
        <x:f>J676-K676-L676</x:f>
        <x:v>0</x:v>
      </x:c>
    </x:row>
    <x:row r="677">
      <x:c r="A677" s="20" t="str">
        <x:v>上振れ</x:v>
      </x:c>
      <x:c r="B677" s="20" t="n">
        <x:v>17</x:v>
      </x:c>
      <x:c r="C677" s="20" t="n">
        <x:v>1</x:v>
      </x:c>
      <x:c r="D677" s="189" t="n">
        <x:v>1.1</x:v>
      </x:c>
      <x:c r="E677" s="189" t="n">
        <x:v>0.9</x:v>
      </x:c>
      <x:c r="F677" s="189" t="n">
        <x:f>MAX(MIN('詳細設定'!$D$15+0.05,1),0)</x:f>
        <x:v>0.45</x:v>
      </x:c>
      <x:c r="G677" s="563" t="n">
        <x:f>'_計算月次'!$J$5</x:f>
        <x:v>502.4147595742038</x:v>
      </x:c>
      <x:c r="H677" s="563" t="n">
        <x:f>'_計算月次'!$K$5</x:f>
        <x:v>450</x:v>
      </x:c>
      <x:c r="I677" s="563" t="n">
        <x:f>(1-MAX(MIN('詳細設定'!$D$16,0.999999),0))^(B677-1)</x:f>
        <x:v>1</x:v>
      </x:c>
      <x:c r="J677" s="563" t="n">
        <x:f>MAX(G677*D677*I677,0)</x:f>
        <x:v>552.6562355316242</x:v>
      </x:c>
      <x:c r="K677" s="563" t="n">
        <x:f>MAX(MIN(J677*F677,H677),0)</x:f>
        <x:v>248.69530598923092</x:v>
      </x:c>
      <x:c r="L677" s="563" t="n">
        <x:f>MAX(J677-K677,0)</x:f>
        <x:v>303.96092954239333</x:v>
      </x:c>
      <x:c r="M677" s="185" t="n">
        <x:f>MAX('詳細設定'!$D$6,0)*(1+'詳細設定'!$D$21)^(B677-1)</x:f>
        <x:v>41.04025257232946</x:v>
      </x:c>
      <x:c r="N677" s="185" t="n">
        <x:f>IF(B677&lt;=MAX(MIN('詳細設定'!$D$8,20),0),MAX('詳細設定'!$D$7,0),IF(B677&lt;=MAX(MIN('詳細設定'!$D$10,20),0),MAX('詳細設定'!$D$9,0),MAX('詳細設定'!$D$11,0)))</x:f>
        <x:v>8.3</x:v>
      </x:c>
      <x:c r="O677" s="190" t="n">
        <x:f>K677*M677</x:f>
        <x:v>10206.518171350795</x:v>
      </x:c>
      <x:c r="P677" s="190" t="n">
        <x:f>L677*N677</x:f>
        <x:v>2522.8757152018648</x:v>
      </x:c>
      <x:c r="Q677" s="190" t="n">
        <x:f>O677+P677</x:f>
        <x:v>12729.39388655266</x:v>
      </x:c>
      <x:c r="R677" s="196" t="n">
        <x:f>J677-K677-L677</x:f>
        <x:v>0</x:v>
      </x:c>
    </x:row>
    <x:row r="678">
      <x:c r="A678" s="20" t="str">
        <x:v>上振れ</x:v>
      </x:c>
      <x:c r="B678" s="20" t="n">
        <x:v>17</x:v>
      </x:c>
      <x:c r="C678" s="20" t="n">
        <x:v>2</x:v>
      </x:c>
      <x:c r="D678" s="189" t="n">
        <x:v>1.1</x:v>
      </x:c>
      <x:c r="E678" s="189" t="n">
        <x:v>0.9</x:v>
      </x:c>
      <x:c r="F678" s="189" t="n">
        <x:f>MAX(MIN('詳細設定'!$D$15+0.05,1),0)</x:f>
        <x:v>0.45</x:v>
      </x:c>
      <x:c r="G678" s="563" t="n">
        <x:f>'_計算月次'!$J$6</x:f>
        <x:v>472.4508339500229</x:v>
      </x:c>
      <x:c r="H678" s="563" t="n">
        <x:f>'_計算月次'!$K$6</x:f>
        <x:v>405</x:v>
      </x:c>
      <x:c r="I678" s="563" t="n">
        <x:f>(1-MAX(MIN('詳細設定'!$D$16,0.999999),0))^(B678-1)</x:f>
        <x:v>1</x:v>
      </x:c>
      <x:c r="J678" s="563" t="n">
        <x:f>MAX(G678*D678*I678,0)</x:f>
        <x:v>519.6959173450252</x:v>
      </x:c>
      <x:c r="K678" s="563" t="n">
        <x:f>MAX(MIN(J678*F678,H678),0)</x:f>
        <x:v>233.86316280526137</x:v>
      </x:c>
      <x:c r="L678" s="563" t="n">
        <x:f>MAX(J678-K678,0)</x:f>
        <x:v>285.83275453976387</x:v>
      </x:c>
      <x:c r="M678" s="185" t="n">
        <x:f>MAX('詳細設定'!$D$6,0)*(1+'詳細設定'!$D$21)^(B678-1)</x:f>
        <x:v>41.04025257232946</x:v>
      </x:c>
      <x:c r="N678" s="185" t="n">
        <x:f>IF(B678&lt;=MAX(MIN('詳細設定'!$D$8,20),0),MAX('詳細設定'!$D$7,0),IF(B678&lt;=MAX(MIN('詳細設定'!$D$10,20),0),MAX('詳細設定'!$D$9,0),MAX('詳細設定'!$D$11,0)))</x:f>
        <x:v>8.3</x:v>
      </x:c>
      <x:c r="O678" s="190" t="n">
        <x:f>K678*M678</x:f>
        <x:v>9597.80326889173</x:v>
      </x:c>
      <x:c r="P678" s="190" t="n">
        <x:f>L678*N678</x:f>
        <x:v>2372.4118626800405</x:v>
      </x:c>
      <x:c r="Q678" s="190" t="n">
        <x:f>O678+P678</x:f>
        <x:v>11970.215131571771</x:v>
      </x:c>
      <x:c r="R678" s="196" t="n">
        <x:f>J678-K678-L678</x:f>
        <x:v>0</x:v>
      </x:c>
    </x:row>
    <x:row r="679">
      <x:c r="A679" s="20" t="str">
        <x:v>上振れ</x:v>
      </x:c>
      <x:c r="B679" s="20" t="n">
        <x:v>17</x:v>
      </x:c>
      <x:c r="C679" s="20" t="n">
        <x:v>3</x:v>
      </x:c>
      <x:c r="D679" s="189" t="n">
        <x:v>1.1</x:v>
      </x:c>
      <x:c r="E679" s="189" t="n">
        <x:v>0.9</x:v>
      </x:c>
      <x:c r="F679" s="189" t="n">
        <x:f>MAX(MIN('詳細設定'!$D$15+0.05,1),0)</x:f>
        <x:v>0.45</x:v>
      </x:c>
      <x:c r="G679" s="563" t="n">
        <x:f>'_計算月次'!$J$7</x:f>
        <x:v>548.3418864753118</x:v>
      </x:c>
      <x:c r="H679" s="563" t="n">
        <x:f>'_計算月次'!$K$7</x:f>
        <x:v>360</x:v>
      </x:c>
      <x:c r="I679" s="563" t="n">
        <x:f>(1-MAX(MIN('詳細設定'!$D$16,0.999999),0))^(B679-1)</x:f>
        <x:v>1</x:v>
      </x:c>
      <x:c r="J679" s="563" t="n">
        <x:f>MAX(G679*D679*I679,0)</x:f>
        <x:v>603.176075122843</x:v>
      </x:c>
      <x:c r="K679" s="563" t="n">
        <x:f>MAX(MIN(J679*F679,H679),0)</x:f>
        <x:v>271.42923380527935</x:v>
      </x:c>
      <x:c r="L679" s="563" t="n">
        <x:f>MAX(J679-K679,0)</x:f>
        <x:v>331.7468413175637</x:v>
      </x:c>
      <x:c r="M679" s="185" t="n">
        <x:f>MAX('詳細設定'!$D$6,0)*(1+'詳細設定'!$D$21)^(B679-1)</x:f>
        <x:v>41.04025257232946</x:v>
      </x:c>
      <x:c r="N679" s="185" t="n">
        <x:f>IF(B679&lt;=MAX(MIN('詳細設定'!$D$8,20),0),MAX('詳細設定'!$D$7,0),IF(B679&lt;=MAX(MIN('詳細設定'!$D$10,20),0),MAX('詳細設定'!$D$9,0),MAX('詳細設定'!$D$11,0)))</x:f>
        <x:v>8.3</x:v>
      </x:c>
      <x:c r="O679" s="190" t="n">
        <x:f>K679*M679</x:f>
        <x:v>11139.524310882529</x:v>
      </x:c>
      <x:c r="P679" s="190" t="n">
        <x:f>L679*N679</x:f>
        <x:v>2753.4987829357788</x:v>
      </x:c>
      <x:c r="Q679" s="190" t="n">
        <x:f>O679+P679</x:f>
        <x:v>13893.023093818309</x:v>
      </x:c>
      <x:c r="R679" s="196" t="n">
        <x:f>J679-K679-L679</x:f>
        <x:v>0</x:v>
      </x:c>
    </x:row>
    <x:row r="680">
      <x:c r="A680" s="20" t="str">
        <x:v>上振れ</x:v>
      </x:c>
      <x:c r="B680" s="20" t="n">
        <x:v>17</x:v>
      </x:c>
      <x:c r="C680" s="20" t="n">
        <x:v>4</x:v>
      </x:c>
      <x:c r="D680" s="189" t="n">
        <x:v>1.1</x:v>
      </x:c>
      <x:c r="E680" s="189" t="n">
        <x:v>0.9</x:v>
      </x:c>
      <x:c r="F680" s="189" t="n">
        <x:f>MAX(MIN('詳細設定'!$D$15+0.05,1),0)</x:f>
        <x:v>0.45</x:v>
      </x:c>
      <x:c r="G680" s="563" t="n">
        <x:f>'_計算月次'!$J$8</x:f>
        <x:v>548.3944393749554</x:v>
      </x:c>
      <x:c r="H680" s="563" t="n">
        <x:f>'_計算月次'!$K$8</x:f>
        <x:v>315.00000000000006</x:v>
      </x:c>
      <x:c r="I680" s="563" t="n">
        <x:f>(1-MAX(MIN('詳細設定'!$D$16,0.999999),0))^(B680-1)</x:f>
        <x:v>1</x:v>
      </x:c>
      <x:c r="J680" s="563" t="n">
        <x:f>MAX(G680*D680*I680,0)</x:f>
        <x:v>603.233883312451</x:v>
      </x:c>
      <x:c r="K680" s="563" t="n">
        <x:f>MAX(MIN(J680*F680,H680),0)</x:f>
        <x:v>271.45524749060297</x:v>
      </x:c>
      <x:c r="L680" s="563" t="n">
        <x:f>MAX(J680-K680,0)</x:f>
        <x:v>331.778635821848</x:v>
      </x:c>
      <x:c r="M680" s="185" t="n">
        <x:f>MAX('詳細設定'!$D$6,0)*(1+'詳細設定'!$D$21)^(B680-1)</x:f>
        <x:v>41.04025257232946</x:v>
      </x:c>
      <x:c r="N680" s="185" t="n">
        <x:f>IF(B680&lt;=MAX(MIN('詳細設定'!$D$8,20),0),MAX('詳細設定'!$D$7,0),IF(B680&lt;=MAX(MIN('詳細設定'!$D$10,20),0),MAX('詳細設定'!$D$9,0),MAX('詳細設定'!$D$11,0)))</x:f>
        <x:v>8.3</x:v>
      </x:c>
      <x:c r="O680" s="190" t="n">
        <x:f>K680*M680</x:f>
        <x:v>11140.591919098548</x:v>
      </x:c>
      <x:c r="P680" s="190" t="n">
        <x:f>L680*N680</x:f>
        <x:v>2753.7626773213387</x:v>
      </x:c>
      <x:c r="Q680" s="190" t="n">
        <x:f>O680+P680</x:f>
        <x:v>13894.354596419886</x:v>
      </x:c>
      <x:c r="R680" s="196" t="n">
        <x:f>J680-K680-L680</x:f>
        <x:v>0</x:v>
      </x:c>
    </x:row>
    <x:row r="681">
      <x:c r="A681" s="20" t="str">
        <x:v>上振れ</x:v>
      </x:c>
      <x:c r="B681" s="20" t="n">
        <x:v>17</x:v>
      </x:c>
      <x:c r="C681" s="20" t="n">
        <x:v>5</x:v>
      </x:c>
      <x:c r="D681" s="189" t="n">
        <x:v>1.1</x:v>
      </x:c>
      <x:c r="E681" s="189" t="n">
        <x:v>0.9</x:v>
      </x:c>
      <x:c r="F681" s="189" t="n">
        <x:f>MAX(MIN('詳細設定'!$D$15+0.05,1),0)</x:f>
        <x:v>0.45</x:v>
      </x:c>
      <x:c r="G681" s="563" t="n">
        <x:f>'_計算月次'!$J$9</x:f>
        <x:v>552.2367574934775</x:v>
      </x:c>
      <x:c r="H681" s="563" t="n">
        <x:f>'_計算月次'!$K$9</x:f>
        <x:v>315.00000000000006</x:v>
      </x:c>
      <x:c r="I681" s="563" t="n">
        <x:f>(1-MAX(MIN('詳細設定'!$D$16,0.999999),0))^(B681-1)</x:f>
        <x:v>1</x:v>
      </x:c>
      <x:c r="J681" s="563" t="n">
        <x:f>MAX(G681*D681*I681,0)</x:f>
        <x:v>607.4604332428253</x:v>
      </x:c>
      <x:c r="K681" s="563" t="n">
        <x:f>MAX(MIN(J681*F681,H681),0)</x:f>
        <x:v>273.3571949592714</x:v>
      </x:c>
      <x:c r="L681" s="563" t="n">
        <x:f>MAX(J681-K681,0)</x:f>
        <x:v>334.1032382835539</x:v>
      </x:c>
      <x:c r="M681" s="185" t="n">
        <x:f>MAX('詳細設定'!$D$6,0)*(1+'詳細設定'!$D$21)^(B681-1)</x:f>
        <x:v>41.04025257232946</x:v>
      </x:c>
      <x:c r="N681" s="185" t="n">
        <x:f>IF(B681&lt;=MAX(MIN('詳細設定'!$D$8,20),0),MAX('詳細設定'!$D$7,0),IF(B681&lt;=MAX(MIN('詳細設定'!$D$10,20),0),MAX('詳細設定'!$D$9,0),MAX('詳細設定'!$D$11,0)))</x:f>
        <x:v>8.3</x:v>
      </x:c>
      <x:c r="O681" s="190" t="n">
        <x:f>K681*M681</x:f>
        <x:v>11218.648323592002</x:v>
      </x:c>
      <x:c r="P681" s="190" t="n">
        <x:f>L681*N681</x:f>
        <x:v>2773.0568777534972</x:v>
      </x:c>
      <x:c r="Q681" s="190" t="n">
        <x:f>O681+P681</x:f>
        <x:v>13991.7052013455</x:v>
      </x:c>
      <x:c r="R681" s="196" t="n">
        <x:f>J681-K681-L681</x:f>
        <x:v>0</x:v>
      </x:c>
    </x:row>
    <x:row r="682">
      <x:c r="A682" s="20" t="str">
        <x:v>上振れ</x:v>
      </x:c>
      <x:c r="B682" s="20" t="n">
        <x:v>17</x:v>
      </x:c>
      <x:c r="C682" s="20" t="n">
        <x:v>6</x:v>
      </x:c>
      <x:c r="D682" s="189" t="n">
        <x:v>1.1</x:v>
      </x:c>
      <x:c r="E682" s="189" t="n">
        <x:v>0.9</x:v>
      </x:c>
      <x:c r="F682" s="189" t="n">
        <x:f>MAX(MIN('詳細設定'!$D$15+0.05,1),0)</x:f>
        <x:v>0.45</x:v>
      </x:c>
      <x:c r="G682" s="563" t="n">
        <x:f>'_計算月次'!$J$10</x:f>
        <x:v>448.7994857612148</x:v>
      </x:c>
      <x:c r="H682" s="563" t="n">
        <x:f>'_計算月次'!$K$10</x:f>
        <x:v>360</x:v>
      </x:c>
      <x:c r="I682" s="563" t="n">
        <x:f>(1-MAX(MIN('詳細設定'!$D$16,0.999999),0))^(B682-1)</x:f>
        <x:v>1</x:v>
      </x:c>
      <x:c r="J682" s="563" t="n">
        <x:f>MAX(G682*D682*I682,0)</x:f>
        <x:v>493.6794343373363</x:v>
      </x:c>
      <x:c r="K682" s="563" t="n">
        <x:f>MAX(MIN(J682*F682,H682),0)</x:f>
        <x:v>222.15574545180135</x:v>
      </x:c>
      <x:c r="L682" s="563" t="n">
        <x:f>MAX(J682-K682,0)</x:f>
        <x:v>271.52368888553497</x:v>
      </x:c>
      <x:c r="M682" s="185" t="n">
        <x:f>MAX('詳細設定'!$D$6,0)*(1+'詳細設定'!$D$21)^(B682-1)</x:f>
        <x:v>41.04025257232946</x:v>
      </x:c>
      <x:c r="N682" s="185" t="n">
        <x:f>IF(B682&lt;=MAX(MIN('詳細設定'!$D$8,20),0),MAX('詳細設定'!$D$7,0),IF(B682&lt;=MAX(MIN('詳細設定'!$D$10,20),0),MAX('詳細設定'!$D$9,0),MAX('詳細設定'!$D$11,0)))</x:f>
        <x:v>8.3</x:v>
      </x:c>
      <x:c r="O682" s="190" t="n">
        <x:f>K682*M682</x:f>
        <x:v>9117.327903736059</x:v>
      </x:c>
      <x:c r="P682" s="190" t="n">
        <x:f>L682*N682</x:f>
        <x:v>2253.6466177499406</x:v>
      </x:c>
      <x:c r="Q682" s="190" t="n">
        <x:f>O682+P682</x:f>
        <x:v>11370.974521486</x:v>
      </x:c>
      <x:c r="R682" s="196" t="n">
        <x:f>J682-K682-L682</x:f>
        <x:v>0</x:v>
      </x:c>
    </x:row>
    <x:row r="683">
      <x:c r="A683" s="20" t="str">
        <x:v>上振れ</x:v>
      </x:c>
      <x:c r="B683" s="20" t="n">
        <x:v>17</x:v>
      </x:c>
      <x:c r="C683" s="20" t="n">
        <x:v>7</x:v>
      </x:c>
      <x:c r="D683" s="189" t="n">
        <x:v>1.1</x:v>
      </x:c>
      <x:c r="E683" s="189" t="n">
        <x:v>0.9</x:v>
      </x:c>
      <x:c r="F683" s="189" t="n">
        <x:f>MAX(MIN('詳細設定'!$D$15+0.05,1),0)</x:f>
        <x:v>0.45</x:v>
      </x:c>
      <x:c r="G683" s="563" t="n">
        <x:f>'_計算月次'!$J$11</x:f>
        <x:v>476.0181638067866</x:v>
      </x:c>
      <x:c r="H683" s="563" t="n">
        <x:f>'_計算月次'!$K$11</x:f>
        <x:v>405</x:v>
      </x:c>
      <x:c r="I683" s="563" t="n">
        <x:f>(1-MAX(MIN('詳細設定'!$D$16,0.999999),0))^(B683-1)</x:f>
        <x:v>1</x:v>
      </x:c>
      <x:c r="J683" s="563" t="n">
        <x:f>MAX(G683*D683*I683,0)</x:f>
        <x:v>523.6199801874653</x:v>
      </x:c>
      <x:c r="K683" s="563" t="n">
        <x:f>MAX(MIN(J683*F683,H683),0)</x:f>
        <x:v>235.6289910843594</x:v>
      </x:c>
      <x:c r="L683" s="563" t="n">
        <x:f>MAX(J683-K683,0)</x:f>
        <x:v>287.9909891031059</x:v>
      </x:c>
      <x:c r="M683" s="185" t="n">
        <x:f>MAX('詳細設定'!$D$6,0)*(1+'詳細設定'!$D$21)^(B683-1)</x:f>
        <x:v>41.04025257232946</x:v>
      </x:c>
      <x:c r="N683" s="185" t="n">
        <x:f>IF(B683&lt;=MAX(MIN('詳細設定'!$D$8,20),0),MAX('詳細設定'!$D$7,0),IF(B683&lt;=MAX(MIN('詳細設定'!$D$10,20),0),MAX('詳細設定'!$D$9,0),MAX('詳細設定'!$D$11,0)))</x:f>
        <x:v>8.3</x:v>
      </x:c>
      <x:c r="O683" s="190" t="n">
        <x:f>K683*M683</x:f>
        <x:v>9670.273307465275</x:v>
      </x:c>
      <x:c r="P683" s="190" t="n">
        <x:f>L683*N683</x:f>
        <x:v>2390.325209555779</x:v>
      </x:c>
      <x:c r="Q683" s="190" t="n">
        <x:f>O683+P683</x:f>
        <x:v>12060.598517021055</x:v>
      </x:c>
      <x:c r="R683" s="196" t="n">
        <x:f>J683-K683-L683</x:f>
        <x:v>0</x:v>
      </x:c>
    </x:row>
    <x:row r="684">
      <x:c r="A684" s="20" t="str">
        <x:v>上振れ</x:v>
      </x:c>
      <x:c r="B684" s="20" t="n">
        <x:v>17</x:v>
      </x:c>
      <x:c r="C684" s="20" t="n">
        <x:v>8</x:v>
      </x:c>
      <x:c r="D684" s="189" t="n">
        <x:v>1.1</x:v>
      </x:c>
      <x:c r="E684" s="189" t="n">
        <x:v>0.9</x:v>
      </x:c>
      <x:c r="F684" s="189" t="n">
        <x:f>MAX(MIN('詳細設定'!$D$15+0.05,1),0)</x:f>
        <x:v>0.45</x:v>
      </x:c>
      <x:c r="G684" s="563" t="n">
        <x:f>'_計算月次'!$J$12</x:f>
        <x:v>528.6548067323699</x:v>
      </x:c>
      <x:c r="H684" s="563" t="n">
        <x:f>'_計算月次'!$K$12</x:f>
        <x:v>450</x:v>
      </x:c>
      <x:c r="I684" s="563" t="n">
        <x:f>(1-MAX(MIN('詳細設定'!$D$16,0.999999),0))^(B684-1)</x:f>
        <x:v>1</x:v>
      </x:c>
      <x:c r="J684" s="563" t="n">
        <x:f>MAX(G684*D684*I684,0)</x:f>
        <x:v>581.520287405607</x:v>
      </x:c>
      <x:c r="K684" s="563" t="n">
        <x:f>MAX(MIN(J684*F684,H684),0)</x:f>
        <x:v>261.6841293325231</x:v>
      </x:c>
      <x:c r="L684" s="563" t="n">
        <x:f>MAX(J684-K684,0)</x:f>
        <x:v>319.8361580730838</x:v>
      </x:c>
      <x:c r="M684" s="185" t="n">
        <x:f>MAX('詳細設定'!$D$6,0)*(1+'詳細設定'!$D$21)^(B684-1)</x:f>
        <x:v>41.04025257232946</x:v>
      </x:c>
      <x:c r="N684" s="185" t="n">
        <x:f>IF(B684&lt;=MAX(MIN('詳細設定'!$D$8,20),0),MAX('詳細設定'!$D$7,0),IF(B684&lt;=MAX(MIN('詳細設定'!$D$10,20),0),MAX('詳細設定'!$D$9,0),MAX('詳細設定'!$D$11,0)))</x:f>
        <x:v>8.3</x:v>
      </x:c>
      <x:c r="O684" s="190" t="n">
        <x:f>K684*M684</x:f>
        <x:v>10739.582761976877</x:v>
      </x:c>
      <x:c r="P684" s="190" t="n">
        <x:f>L684*N684</x:f>
        <x:v>2654.640112006596</x:v>
      </x:c>
      <x:c r="Q684" s="190" t="n">
        <x:f>O684+P684</x:f>
        <x:v>13394.222873983474</x:v>
      </x:c>
      <x:c r="R684" s="196" t="n">
        <x:f>J684-K684-L684</x:f>
        <x:v>0</x:v>
      </x:c>
    </x:row>
    <x:row r="685">
      <x:c r="A685" s="20" t="str">
        <x:v>上振れ</x:v>
      </x:c>
      <x:c r="B685" s="20" t="n">
        <x:v>17</x:v>
      </x:c>
      <x:c r="C685" s="20" t="n">
        <x:v>9</x:v>
      </x:c>
      <x:c r="D685" s="189" t="n">
        <x:v>1.1</x:v>
      </x:c>
      <x:c r="E685" s="189" t="n">
        <x:v>0.9</x:v>
      </x:c>
      <x:c r="F685" s="189" t="n">
        <x:f>MAX(MIN('詳細設定'!$D$15+0.05,1),0)</x:f>
        <x:v>0.45</x:v>
      </x:c>
      <x:c r="G685" s="563" t="n">
        <x:f>'_計算月次'!$J$13</x:f>
        <x:v>436.37734765103465</x:v>
      </x:c>
      <x:c r="H685" s="563" t="n">
        <x:f>'_計算月次'!$K$13</x:f>
        <x:v>360</x:v>
      </x:c>
      <x:c r="I685" s="563" t="n">
        <x:f>(1-MAX(MIN('詳細設定'!$D$16,0.999999),0))^(B685-1)</x:f>
        <x:v>1</x:v>
      </x:c>
      <x:c r="J685" s="563" t="n">
        <x:f>MAX(G685*D685*I685,0)</x:f>
        <x:v>480.01508241613817</x:v>
      </x:c>
      <x:c r="K685" s="563" t="n">
        <x:f>MAX(MIN(J685*F685,H685),0)</x:f>
        <x:v>216.00678708726218</x:v>
      </x:c>
      <x:c r="L685" s="563" t="n">
        <x:f>MAX(J685-K685,0)</x:f>
        <x:v>264.008295328876</x:v>
      </x:c>
      <x:c r="M685" s="185" t="n">
        <x:f>MAX('詳細設定'!$D$6,0)*(1+'詳細設定'!$D$21)^(B685-1)</x:f>
        <x:v>41.04025257232946</x:v>
      </x:c>
      <x:c r="N685" s="185" t="n">
        <x:f>IF(B685&lt;=MAX(MIN('詳細設定'!$D$8,20),0),MAX('詳細設定'!$D$7,0),IF(B685&lt;=MAX(MIN('詳細設定'!$D$10,20),0),MAX('詳細設定'!$D$9,0),MAX('詳細設定'!$D$11,0)))</x:f>
        <x:v>8.3</x:v>
      </x:c>
      <x:c r="O685" s="190" t="n">
        <x:f>K685*M685</x:f>
        <x:v>8864.973099398634</x:v>
      </x:c>
      <x:c r="P685" s="190" t="n">
        <x:f>L685*N685</x:f>
        <x:v>2191.268851229671</x:v>
      </x:c>
      <x:c r="Q685" s="190" t="n">
        <x:f>O685+P685</x:f>
        <x:v>11056.241950628304</x:v>
      </x:c>
      <x:c r="R685" s="196" t="n">
        <x:f>J685-K685-L685</x:f>
        <x:v>0</x:v>
      </x:c>
    </x:row>
    <x:row r="686">
      <x:c r="A686" s="20" t="str">
        <x:v>上振れ</x:v>
      </x:c>
      <x:c r="B686" s="20" t="n">
        <x:v>17</x:v>
      </x:c>
      <x:c r="C686" s="20" t="n">
        <x:v>10</x:v>
      </x:c>
      <x:c r="D686" s="189" t="n">
        <x:v>1.1</x:v>
      </x:c>
      <x:c r="E686" s="189" t="n">
        <x:v>0.9</x:v>
      </x:c>
      <x:c r="F686" s="189" t="n">
        <x:f>MAX(MIN('詳細設定'!$D$15+0.05,1),0)</x:f>
        <x:v>0.45</x:v>
      </x:c>
      <x:c r="G686" s="563" t="n">
        <x:f>'_計算月次'!$J$14</x:f>
        <x:v>408.8269849869007</x:v>
      </x:c>
      <x:c r="H686" s="563" t="n">
        <x:f>'_計算月次'!$K$14</x:f>
        <x:v>315.00000000000006</x:v>
      </x:c>
      <x:c r="I686" s="563" t="n">
        <x:f>(1-MAX(MIN('詳細設定'!$D$16,0.999999),0))^(B686-1)</x:f>
        <x:v>1</x:v>
      </x:c>
      <x:c r="J686" s="563" t="n">
        <x:f>MAX(G686*D686*I686,0)</x:f>
        <x:v>449.7096834855908</x:v>
      </x:c>
      <x:c r="K686" s="563" t="n">
        <x:f>MAX(MIN(J686*F686,H686),0)</x:f>
        <x:v>202.36935756851585</x:v>
      </x:c>
      <x:c r="L686" s="563" t="n">
        <x:f>MAX(J686-K686,0)</x:f>
        <x:v>247.34032591707495</x:v>
      </x:c>
      <x:c r="M686" s="185" t="n">
        <x:f>MAX('詳細設定'!$D$6,0)*(1+'詳細設定'!$D$21)^(B686-1)</x:f>
        <x:v>41.04025257232946</x:v>
      </x:c>
      <x:c r="N686" s="185" t="n">
        <x:f>IF(B686&lt;=MAX(MIN('詳細設定'!$D$8,20),0),MAX('詳細設定'!$D$7,0),IF(B686&lt;=MAX(MIN('詳細設定'!$D$10,20),0),MAX('詳細設定'!$D$9,0),MAX('詳細設定'!$D$11,0)))</x:f>
        <x:v>8.3</x:v>
      </x:c>
      <x:c r="O686" s="190" t="n">
        <x:f>K686*M686</x:f>
        <x:v>8305.289547511942</x:v>
      </x:c>
      <x:c r="P686" s="190" t="n">
        <x:f>L686*N686</x:f>
        <x:v>2052.9247051117222</x:v>
      </x:c>
      <x:c r="Q686" s="190" t="n">
        <x:f>O686+P686</x:f>
        <x:v>10358.214252623664</x:v>
      </x:c>
      <x:c r="R686" s="196" t="n">
        <x:f>J686-K686-L686</x:f>
        <x:v>0</x:v>
      </x:c>
    </x:row>
    <x:row r="687">
      <x:c r="A687" s="20" t="str">
        <x:v>上振れ</x:v>
      </x:c>
      <x:c r="B687" s="20" t="n">
        <x:v>17</x:v>
      </x:c>
      <x:c r="C687" s="20" t="n">
        <x:v>11</x:v>
      </x:c>
      <x:c r="D687" s="189" t="n">
        <x:v>1.1</x:v>
      </x:c>
      <x:c r="E687" s="189" t="n">
        <x:v>0.9</x:v>
      </x:c>
      <x:c r="F687" s="189" t="n">
        <x:f>MAX(MIN('詳細設定'!$D$15+0.05,1),0)</x:f>
        <x:v>0.45</x:v>
      </x:c>
      <x:c r="G687" s="563" t="n">
        <x:f>'_計算月次'!$J$15</x:f>
        <x:v>398.45169764745054</x:v>
      </x:c>
      <x:c r="H687" s="563" t="n">
        <x:f>'_計算月次'!$K$15</x:f>
        <x:v>360</x:v>
      </x:c>
      <x:c r="I687" s="563" t="n">
        <x:f>(1-MAX(MIN('詳細設定'!$D$16,0.999999),0))^(B687-1)</x:f>
        <x:v>1</x:v>
      </x:c>
      <x:c r="J687" s="563" t="n">
        <x:f>MAX(G687*D687*I687,0)</x:f>
        <x:v>438.29686741219564</x:v>
      </x:c>
      <x:c r="K687" s="563" t="n">
        <x:f>MAX(MIN(J687*F687,H687),0)</x:f>
        <x:v>197.23359033548803</x:v>
      </x:c>
      <x:c r="L687" s="563" t="n">
        <x:f>MAX(J687-K687,0)</x:f>
        <x:v>241.0632770767076</x:v>
      </x:c>
      <x:c r="M687" s="185" t="n">
        <x:f>MAX('詳細設定'!$D$6,0)*(1+'詳細設定'!$D$21)^(B687-1)</x:f>
        <x:v>41.04025257232946</x:v>
      </x:c>
      <x:c r="N687" s="185" t="n">
        <x:f>IF(B687&lt;=MAX(MIN('詳細設定'!$D$8,20),0),MAX('詳細設定'!$D$7,0),IF(B687&lt;=MAX(MIN('詳細設定'!$D$10,20),0),MAX('詳細設定'!$D$9,0),MAX('詳細設定'!$D$11,0)))</x:f>
        <x:v>8.3</x:v>
      </x:c>
      <x:c r="O687" s="190" t="n">
        <x:f>K687*M687</x:f>
        <x:v>8094.5163631157875</x:v>
      </x:c>
      <x:c r="P687" s="190" t="n">
        <x:f>L687*N687</x:f>
        <x:v>2000.8251997366733</x:v>
      </x:c>
      <x:c r="Q687" s="190" t="n">
        <x:f>O687+P687</x:f>
        <x:v>10095.34156285246</x:v>
      </x:c>
      <x:c r="R687" s="196" t="n">
        <x:f>J687-K687-L687</x:f>
        <x:v>0</x:v>
      </x:c>
    </x:row>
    <x:row r="688">
      <x:c r="A688" s="20" t="str">
        <x:v>上振れ</x:v>
      </x:c>
      <x:c r="B688" s="20" t="n">
        <x:v>17</x:v>
      </x:c>
      <x:c r="C688" s="20" t="n">
        <x:v>12</x:v>
      </x:c>
      <x:c r="D688" s="189" t="n">
        <x:v>1.1</x:v>
      </x:c>
      <x:c r="E688" s="189" t="n">
        <x:v>0.9</x:v>
      </x:c>
      <x:c r="F688" s="189" t="n">
        <x:f>MAX(MIN('詳細設定'!$D$15+0.05,1),0)</x:f>
        <x:v>0.45</x:v>
      </x:c>
      <x:c r="G688" s="563" t="n">
        <x:f>'_計算月次'!$J$16</x:f>
        <x:v>443.97248688000184</x:v>
      </x:c>
      <x:c r="H688" s="563" t="n">
        <x:f>'_計算月次'!$K$16</x:f>
        <x:v>405</x:v>
      </x:c>
      <x:c r="I688" s="563" t="n">
        <x:f>(1-MAX(MIN('詳細設定'!$D$16,0.999999),0))^(B688-1)</x:f>
        <x:v>1</x:v>
      </x:c>
      <x:c r="J688" s="563" t="n">
        <x:f>MAX(G688*D688*I688,0)</x:f>
        <x:v>488.36973556800206</x:v>
      </x:c>
      <x:c r="K688" s="563" t="n">
        <x:f>MAX(MIN(J688*F688,H688),0)</x:f>
        <x:v>219.76638100560092</x:v>
      </x:c>
      <x:c r="L688" s="563" t="n">
        <x:f>MAX(J688-K688,0)</x:f>
        <x:v>268.60335456240114</x:v>
      </x:c>
      <x:c r="M688" s="185" t="n">
        <x:f>MAX('詳細設定'!$D$6,0)*(1+'詳細設定'!$D$21)^(B688-1)</x:f>
        <x:v>41.04025257232946</x:v>
      </x:c>
      <x:c r="N688" s="185" t="n">
        <x:f>IF(B688&lt;=MAX(MIN('詳細設定'!$D$8,20),0),MAX('詳細設定'!$D$7,0),IF(B688&lt;=MAX(MIN('詳細設定'!$D$10,20),0),MAX('詳細設定'!$D$9,0),MAX('詳細設定'!$D$11,0)))</x:f>
        <x:v>8.3</x:v>
      </x:c>
      <x:c r="O688" s="190" t="n">
        <x:f>K688*M688</x:f>
        <x:v>9019.267783376648</x:v>
      </x:c>
      <x:c r="P688" s="190" t="n">
        <x:f>L688*N688</x:f>
        <x:v>2229.4078428679295</x:v>
      </x:c>
      <x:c r="Q688" s="190" t="n">
        <x:f>O688+P688</x:f>
        <x:v>11248.675626244578</x:v>
      </x:c>
      <x:c r="R688" s="196" t="n">
        <x:f>J688-K688-L688</x:f>
        <x:v>0</x:v>
      </x:c>
    </x:row>
    <x:row r="689">
      <x:c r="A689" s="20" t="str">
        <x:v>上振れ</x:v>
      </x:c>
      <x:c r="B689" s="20" t="n">
        <x:v>18</x:v>
      </x:c>
      <x:c r="C689" s="20" t="n">
        <x:v>1</x:v>
      </x:c>
      <x:c r="D689" s="189" t="n">
        <x:v>1.1</x:v>
      </x:c>
      <x:c r="E689" s="189" t="n">
        <x:v>0.9</x:v>
      </x:c>
      <x:c r="F689" s="189" t="n">
        <x:f>MAX(MIN('詳細設定'!$D$15+0.05,1),0)</x:f>
        <x:v>0.45</x:v>
      </x:c>
      <x:c r="G689" s="563" t="n">
        <x:f>'_計算月次'!$J$5</x:f>
        <x:v>502.4147595742038</x:v>
      </x:c>
      <x:c r="H689" s="563" t="n">
        <x:f>'_計算月次'!$K$5</x:f>
        <x:v>450</x:v>
      </x:c>
      <x:c r="I689" s="563" t="n">
        <x:f>(1-MAX(MIN('詳細設定'!$D$16,0.999999),0))^(B689-1)</x:f>
        <x:v>1</x:v>
      </x:c>
      <x:c r="J689" s="563" t="n">
        <x:f>MAX(G689*D689*I689,0)</x:f>
        <x:v>552.6562355316242</x:v>
      </x:c>
      <x:c r="K689" s="563" t="n">
        <x:f>MAX(MIN(J689*F689,H689),0)</x:f>
        <x:v>248.69530598923092</x:v>
      </x:c>
      <x:c r="L689" s="563" t="n">
        <x:f>MAX(J689-K689,0)</x:f>
        <x:v>303.96092954239333</x:v>
      </x:c>
      <x:c r="M689" s="185" t="n">
        <x:f>MAX('詳細設定'!$D$6,0)*(1+'詳細設定'!$D$21)^(B689-1)</x:f>
        <x:v>41.45065509805275</x:v>
      </x:c>
      <x:c r="N689" s="185" t="n">
        <x:f>IF(B689&lt;=MAX(MIN('詳細設定'!$D$8,20),0),MAX('詳細設定'!$D$7,0),IF(B689&lt;=MAX(MIN('詳細設定'!$D$10,20),0),MAX('詳細設定'!$D$9,0),MAX('詳細設定'!$D$11,0)))</x:f>
        <x:v>8.3</x:v>
      </x:c>
      <x:c r="O689" s="190" t="n">
        <x:f>K689*M689</x:f>
        <x:v>10308.583353064303</x:v>
      </x:c>
      <x:c r="P689" s="190" t="n">
        <x:f>L689*N689</x:f>
        <x:v>2522.8757152018648</x:v>
      </x:c>
      <x:c r="Q689" s="190" t="n">
        <x:f>O689+P689</x:f>
        <x:v>12831.459068266167</x:v>
      </x:c>
      <x:c r="R689" s="196" t="n">
        <x:f>J689-K689-L689</x:f>
        <x:v>0</x:v>
      </x:c>
    </x:row>
    <x:row r="690">
      <x:c r="A690" s="20" t="str">
        <x:v>上振れ</x:v>
      </x:c>
      <x:c r="B690" s="20" t="n">
        <x:v>18</x:v>
      </x:c>
      <x:c r="C690" s="20" t="n">
        <x:v>2</x:v>
      </x:c>
      <x:c r="D690" s="189" t="n">
        <x:v>1.1</x:v>
      </x:c>
      <x:c r="E690" s="189" t="n">
        <x:v>0.9</x:v>
      </x:c>
      <x:c r="F690" s="189" t="n">
        <x:f>MAX(MIN('詳細設定'!$D$15+0.05,1),0)</x:f>
        <x:v>0.45</x:v>
      </x:c>
      <x:c r="G690" s="563" t="n">
        <x:f>'_計算月次'!$J$6</x:f>
        <x:v>472.4508339500229</x:v>
      </x:c>
      <x:c r="H690" s="563" t="n">
        <x:f>'_計算月次'!$K$6</x:f>
        <x:v>405</x:v>
      </x:c>
      <x:c r="I690" s="563" t="n">
        <x:f>(1-MAX(MIN('詳細設定'!$D$16,0.999999),0))^(B690-1)</x:f>
        <x:v>1</x:v>
      </x:c>
      <x:c r="J690" s="563" t="n">
        <x:f>MAX(G690*D690*I690,0)</x:f>
        <x:v>519.6959173450252</x:v>
      </x:c>
      <x:c r="K690" s="563" t="n">
        <x:f>MAX(MIN(J690*F690,H690),0)</x:f>
        <x:v>233.86316280526137</x:v>
      </x:c>
      <x:c r="L690" s="563" t="n">
        <x:f>MAX(J690-K690,0)</x:f>
        <x:v>285.83275453976387</x:v>
      </x:c>
      <x:c r="M690" s="185" t="n">
        <x:f>MAX('詳細設定'!$D$6,0)*(1+'詳細設定'!$D$21)^(B690-1)</x:f>
        <x:v>41.45065509805275</x:v>
      </x:c>
      <x:c r="N690" s="185" t="n">
        <x:f>IF(B690&lt;=MAX(MIN('詳細設定'!$D$8,20),0),MAX('詳細設定'!$D$7,0),IF(B690&lt;=MAX(MIN('詳細設定'!$D$10,20),0),MAX('詳細設定'!$D$9,0),MAX('詳細設定'!$D$11,0)))</x:f>
        <x:v>8.3</x:v>
      </x:c>
      <x:c r="O690" s="190" t="n">
        <x:f>K690*M690</x:f>
        <x:v>9693.781301580648</x:v>
      </x:c>
      <x:c r="P690" s="190" t="n">
        <x:f>L690*N690</x:f>
        <x:v>2372.4118626800405</x:v>
      </x:c>
      <x:c r="Q690" s="190" t="n">
        <x:f>O690+P690</x:f>
        <x:v>12066.193164260689</x:v>
      </x:c>
      <x:c r="R690" s="196" t="n">
        <x:f>J690-K690-L690</x:f>
        <x:v>0</x:v>
      </x:c>
    </x:row>
    <x:row r="691">
      <x:c r="A691" s="20" t="str">
        <x:v>上振れ</x:v>
      </x:c>
      <x:c r="B691" s="20" t="n">
        <x:v>18</x:v>
      </x:c>
      <x:c r="C691" s="20" t="n">
        <x:v>3</x:v>
      </x:c>
      <x:c r="D691" s="189" t="n">
        <x:v>1.1</x:v>
      </x:c>
      <x:c r="E691" s="189" t="n">
        <x:v>0.9</x:v>
      </x:c>
      <x:c r="F691" s="189" t="n">
        <x:f>MAX(MIN('詳細設定'!$D$15+0.05,1),0)</x:f>
        <x:v>0.45</x:v>
      </x:c>
      <x:c r="G691" s="563" t="n">
        <x:f>'_計算月次'!$J$7</x:f>
        <x:v>548.3418864753118</x:v>
      </x:c>
      <x:c r="H691" s="563" t="n">
        <x:f>'_計算月次'!$K$7</x:f>
        <x:v>360</x:v>
      </x:c>
      <x:c r="I691" s="563" t="n">
        <x:f>(1-MAX(MIN('詳細設定'!$D$16,0.999999),0))^(B691-1)</x:f>
        <x:v>1</x:v>
      </x:c>
      <x:c r="J691" s="563" t="n">
        <x:f>MAX(G691*D691*I691,0)</x:f>
        <x:v>603.176075122843</x:v>
      </x:c>
      <x:c r="K691" s="563" t="n">
        <x:f>MAX(MIN(J691*F691,H691),0)</x:f>
        <x:v>271.42923380527935</x:v>
      </x:c>
      <x:c r="L691" s="563" t="n">
        <x:f>MAX(J691-K691,0)</x:f>
        <x:v>331.7468413175637</x:v>
      </x:c>
      <x:c r="M691" s="185" t="n">
        <x:f>MAX('詳細設定'!$D$6,0)*(1+'詳細設定'!$D$21)^(B691-1)</x:f>
        <x:v>41.45065509805275</x:v>
      </x:c>
      <x:c r="N691" s="185" t="n">
        <x:f>IF(B691&lt;=MAX(MIN('詳細設定'!$D$8,20),0),MAX('詳細設定'!$D$7,0),IF(B691&lt;=MAX(MIN('詳細設定'!$D$10,20),0),MAX('詳細設定'!$D$9,0),MAX('詳細設定'!$D$11,0)))</x:f>
        <x:v>8.3</x:v>
      </x:c>
      <x:c r="O691" s="190" t="n">
        <x:f>K691*M691</x:f>
        <x:v>11250.919553991354</x:v>
      </x:c>
      <x:c r="P691" s="190" t="n">
        <x:f>L691*N691</x:f>
        <x:v>2753.4987829357788</x:v>
      </x:c>
      <x:c r="Q691" s="190" t="n">
        <x:f>O691+P691</x:f>
        <x:v>14004.418336927134</x:v>
      </x:c>
      <x:c r="R691" s="196" t="n">
        <x:f>J691-K691-L691</x:f>
        <x:v>0</x:v>
      </x:c>
    </x:row>
    <x:row r="692">
      <x:c r="A692" s="20" t="str">
        <x:v>上振れ</x:v>
      </x:c>
      <x:c r="B692" s="20" t="n">
        <x:v>18</x:v>
      </x:c>
      <x:c r="C692" s="20" t="n">
        <x:v>4</x:v>
      </x:c>
      <x:c r="D692" s="189" t="n">
        <x:v>1.1</x:v>
      </x:c>
      <x:c r="E692" s="189" t="n">
        <x:v>0.9</x:v>
      </x:c>
      <x:c r="F692" s="189" t="n">
        <x:f>MAX(MIN('詳細設定'!$D$15+0.05,1),0)</x:f>
        <x:v>0.45</x:v>
      </x:c>
      <x:c r="G692" s="563" t="n">
        <x:f>'_計算月次'!$J$8</x:f>
        <x:v>548.3944393749554</x:v>
      </x:c>
      <x:c r="H692" s="563" t="n">
        <x:f>'_計算月次'!$K$8</x:f>
        <x:v>315.00000000000006</x:v>
      </x:c>
      <x:c r="I692" s="563" t="n">
        <x:f>(1-MAX(MIN('詳細設定'!$D$16,0.999999),0))^(B692-1)</x:f>
        <x:v>1</x:v>
      </x:c>
      <x:c r="J692" s="563" t="n">
        <x:f>MAX(G692*D692*I692,0)</x:f>
        <x:v>603.233883312451</x:v>
      </x:c>
      <x:c r="K692" s="563" t="n">
        <x:f>MAX(MIN(J692*F692,H692),0)</x:f>
        <x:v>271.45524749060297</x:v>
      </x:c>
      <x:c r="L692" s="563" t="n">
        <x:f>MAX(J692-K692,0)</x:f>
        <x:v>331.778635821848</x:v>
      </x:c>
      <x:c r="M692" s="185" t="n">
        <x:f>MAX('詳細設定'!$D$6,0)*(1+'詳細設定'!$D$21)^(B692-1)</x:f>
        <x:v>41.45065509805275</x:v>
      </x:c>
      <x:c r="N692" s="185" t="n">
        <x:f>IF(B692&lt;=MAX(MIN('詳細設定'!$D$8,20),0),MAX('詳細設定'!$D$7,0),IF(B692&lt;=MAX(MIN('詳細設定'!$D$10,20),0),MAX('詳細設定'!$D$9,0),MAX('詳細設定'!$D$11,0)))</x:f>
        <x:v>8.3</x:v>
      </x:c>
      <x:c r="O692" s="190" t="n">
        <x:f>K692*M692</x:f>
        <x:v>11251.997838289533</x:v>
      </x:c>
      <x:c r="P692" s="190" t="n">
        <x:f>L692*N692</x:f>
        <x:v>2753.7626773213387</x:v>
      </x:c>
      <x:c r="Q692" s="190" t="n">
        <x:f>O692+P692</x:f>
        <x:v>14005.760515610873</x:v>
      </x:c>
      <x:c r="R692" s="196" t="n">
        <x:f>J692-K692-L692</x:f>
        <x:v>0</x:v>
      </x:c>
    </x:row>
    <x:row r="693">
      <x:c r="A693" s="20" t="str">
        <x:v>上振れ</x:v>
      </x:c>
      <x:c r="B693" s="20" t="n">
        <x:v>18</x:v>
      </x:c>
      <x:c r="C693" s="20" t="n">
        <x:v>5</x:v>
      </x:c>
      <x:c r="D693" s="189" t="n">
        <x:v>1.1</x:v>
      </x:c>
      <x:c r="E693" s="189" t="n">
        <x:v>0.9</x:v>
      </x:c>
      <x:c r="F693" s="189" t="n">
        <x:f>MAX(MIN('詳細設定'!$D$15+0.05,1),0)</x:f>
        <x:v>0.45</x:v>
      </x:c>
      <x:c r="G693" s="563" t="n">
        <x:f>'_計算月次'!$J$9</x:f>
        <x:v>552.2367574934775</x:v>
      </x:c>
      <x:c r="H693" s="563" t="n">
        <x:f>'_計算月次'!$K$9</x:f>
        <x:v>315.00000000000006</x:v>
      </x:c>
      <x:c r="I693" s="563" t="n">
        <x:f>(1-MAX(MIN('詳細設定'!$D$16,0.999999),0))^(B693-1)</x:f>
        <x:v>1</x:v>
      </x:c>
      <x:c r="J693" s="563" t="n">
        <x:f>MAX(G693*D693*I693,0)</x:f>
        <x:v>607.4604332428253</x:v>
      </x:c>
      <x:c r="K693" s="563" t="n">
        <x:f>MAX(MIN(J693*F693,H693),0)</x:f>
        <x:v>273.3571949592714</x:v>
      </x:c>
      <x:c r="L693" s="563" t="n">
        <x:f>MAX(J693-K693,0)</x:f>
        <x:v>334.1032382835539</x:v>
      </x:c>
      <x:c r="M693" s="185" t="n">
        <x:f>MAX('詳細設定'!$D$6,0)*(1+'詳細設定'!$D$21)^(B693-1)</x:f>
        <x:v>41.45065509805275</x:v>
      </x:c>
      <x:c r="N693" s="185" t="n">
        <x:f>IF(B693&lt;=MAX(MIN('詳細設定'!$D$8,20),0),MAX('詳細設定'!$D$7,0),IF(B693&lt;=MAX(MIN('詳細設定'!$D$10,20),0),MAX('詳細設定'!$D$9,0),MAX('詳細設定'!$D$11,0)))</x:f>
        <x:v>8.3</x:v>
      </x:c>
      <x:c r="O693" s="190" t="n">
        <x:f>K693*M693</x:f>
        <x:v>11330.834806827923</x:v>
      </x:c>
      <x:c r="P693" s="190" t="n">
        <x:f>L693*N693</x:f>
        <x:v>2773.0568777534972</x:v>
      </x:c>
      <x:c r="Q693" s="190" t="n">
        <x:f>O693+P693</x:f>
        <x:v>14103.89168458142</x:v>
      </x:c>
      <x:c r="R693" s="196" t="n">
        <x:f>J693-K693-L693</x:f>
        <x:v>0</x:v>
      </x:c>
    </x:row>
    <x:row r="694">
      <x:c r="A694" s="20" t="str">
        <x:v>上振れ</x:v>
      </x:c>
      <x:c r="B694" s="20" t="n">
        <x:v>18</x:v>
      </x:c>
      <x:c r="C694" s="20" t="n">
        <x:v>6</x:v>
      </x:c>
      <x:c r="D694" s="189" t="n">
        <x:v>1.1</x:v>
      </x:c>
      <x:c r="E694" s="189" t="n">
        <x:v>0.9</x:v>
      </x:c>
      <x:c r="F694" s="189" t="n">
        <x:f>MAX(MIN('詳細設定'!$D$15+0.05,1),0)</x:f>
        <x:v>0.45</x:v>
      </x:c>
      <x:c r="G694" s="563" t="n">
        <x:f>'_計算月次'!$J$10</x:f>
        <x:v>448.7994857612148</x:v>
      </x:c>
      <x:c r="H694" s="563" t="n">
        <x:f>'_計算月次'!$K$10</x:f>
        <x:v>360</x:v>
      </x:c>
      <x:c r="I694" s="563" t="n">
        <x:f>(1-MAX(MIN('詳細設定'!$D$16,0.999999),0))^(B694-1)</x:f>
        <x:v>1</x:v>
      </x:c>
      <x:c r="J694" s="563" t="n">
        <x:f>MAX(G694*D694*I694,0)</x:f>
        <x:v>493.6794343373363</x:v>
      </x:c>
      <x:c r="K694" s="563" t="n">
        <x:f>MAX(MIN(J694*F694,H694),0)</x:f>
        <x:v>222.15574545180135</x:v>
      </x:c>
      <x:c r="L694" s="563" t="n">
        <x:f>MAX(J694-K694,0)</x:f>
        <x:v>271.52368888553497</x:v>
      </x:c>
      <x:c r="M694" s="185" t="n">
        <x:f>MAX('詳細設定'!$D$6,0)*(1+'詳細設定'!$D$21)^(B694-1)</x:f>
        <x:v>41.45065509805275</x:v>
      </x:c>
      <x:c r="N694" s="185" t="n">
        <x:f>IF(B694&lt;=MAX(MIN('詳細設定'!$D$8,20),0),MAX('詳細設定'!$D$7,0),IF(B694&lt;=MAX(MIN('詳細設定'!$D$10,20),0),MAX('詳細設定'!$D$9,0),MAX('詳細設定'!$D$11,0)))</x:f>
        <x:v>8.3</x:v>
      </x:c>
      <x:c r="O694" s="190" t="n">
        <x:f>K694*M694</x:f>
        <x:v>9208.501182773418</x:v>
      </x:c>
      <x:c r="P694" s="190" t="n">
        <x:f>L694*N694</x:f>
        <x:v>2253.6466177499406</x:v>
      </x:c>
      <x:c r="Q694" s="190" t="n">
        <x:f>O694+P694</x:f>
        <x:v>11462.147800523358</x:v>
      </x:c>
      <x:c r="R694" s="196" t="n">
        <x:f>J694-K694-L694</x:f>
        <x:v>0</x:v>
      </x:c>
    </x:row>
    <x:row r="695">
      <x:c r="A695" s="20" t="str">
        <x:v>上振れ</x:v>
      </x:c>
      <x:c r="B695" s="20" t="n">
        <x:v>18</x:v>
      </x:c>
      <x:c r="C695" s="20" t="n">
        <x:v>7</x:v>
      </x:c>
      <x:c r="D695" s="189" t="n">
        <x:v>1.1</x:v>
      </x:c>
      <x:c r="E695" s="189" t="n">
        <x:v>0.9</x:v>
      </x:c>
      <x:c r="F695" s="189" t="n">
        <x:f>MAX(MIN('詳細設定'!$D$15+0.05,1),0)</x:f>
        <x:v>0.45</x:v>
      </x:c>
      <x:c r="G695" s="563" t="n">
        <x:f>'_計算月次'!$J$11</x:f>
        <x:v>476.0181638067866</x:v>
      </x:c>
      <x:c r="H695" s="563" t="n">
        <x:f>'_計算月次'!$K$11</x:f>
        <x:v>405</x:v>
      </x:c>
      <x:c r="I695" s="563" t="n">
        <x:f>(1-MAX(MIN('詳細設定'!$D$16,0.999999),0))^(B695-1)</x:f>
        <x:v>1</x:v>
      </x:c>
      <x:c r="J695" s="563" t="n">
        <x:f>MAX(G695*D695*I695,0)</x:f>
        <x:v>523.6199801874653</x:v>
      </x:c>
      <x:c r="K695" s="563" t="n">
        <x:f>MAX(MIN(J695*F695,H695),0)</x:f>
        <x:v>235.6289910843594</x:v>
      </x:c>
      <x:c r="L695" s="563" t="n">
        <x:f>MAX(J695-K695,0)</x:f>
        <x:v>287.9909891031059</x:v>
      </x:c>
      <x:c r="M695" s="185" t="n">
        <x:f>MAX('詳細設定'!$D$6,0)*(1+'詳細設定'!$D$21)^(B695-1)</x:f>
        <x:v>41.45065509805275</x:v>
      </x:c>
      <x:c r="N695" s="185" t="n">
        <x:f>IF(B695&lt;=MAX(MIN('詳細設定'!$D$8,20),0),MAX('詳細設定'!$D$7,0),IF(B695&lt;=MAX(MIN('詳細設定'!$D$10,20),0),MAX('詳細設定'!$D$9,0),MAX('詳細設定'!$D$11,0)))</x:f>
        <x:v>8.3</x:v>
      </x:c>
      <x:c r="O695" s="190" t="n">
        <x:f>K695*M695</x:f>
        <x:v>9766.976040539928</x:v>
      </x:c>
      <x:c r="P695" s="190" t="n">
        <x:f>L695*N695</x:f>
        <x:v>2390.325209555779</x:v>
      </x:c>
      <x:c r="Q695" s="190" t="n">
        <x:f>O695+P695</x:f>
        <x:v>12157.301250095708</x:v>
      </x:c>
      <x:c r="R695" s="196" t="n">
        <x:f>J695-K695-L695</x:f>
        <x:v>0</x:v>
      </x:c>
    </x:row>
    <x:row r="696">
      <x:c r="A696" s="20" t="str">
        <x:v>上振れ</x:v>
      </x:c>
      <x:c r="B696" s="20" t="n">
        <x:v>18</x:v>
      </x:c>
      <x:c r="C696" s="20" t="n">
        <x:v>8</x:v>
      </x:c>
      <x:c r="D696" s="189" t="n">
        <x:v>1.1</x:v>
      </x:c>
      <x:c r="E696" s="189" t="n">
        <x:v>0.9</x:v>
      </x:c>
      <x:c r="F696" s="189" t="n">
        <x:f>MAX(MIN('詳細設定'!$D$15+0.05,1),0)</x:f>
        <x:v>0.45</x:v>
      </x:c>
      <x:c r="G696" s="563" t="n">
        <x:f>'_計算月次'!$J$12</x:f>
        <x:v>528.6548067323699</x:v>
      </x:c>
      <x:c r="H696" s="563" t="n">
        <x:f>'_計算月次'!$K$12</x:f>
        <x:v>450</x:v>
      </x:c>
      <x:c r="I696" s="563" t="n">
        <x:f>(1-MAX(MIN('詳細設定'!$D$16,0.999999),0))^(B696-1)</x:f>
        <x:v>1</x:v>
      </x:c>
      <x:c r="J696" s="563" t="n">
        <x:f>MAX(G696*D696*I696,0)</x:f>
        <x:v>581.520287405607</x:v>
      </x:c>
      <x:c r="K696" s="563" t="n">
        <x:f>MAX(MIN(J696*F696,H696),0)</x:f>
        <x:v>261.6841293325231</x:v>
      </x:c>
      <x:c r="L696" s="563" t="n">
        <x:f>MAX(J696-K696,0)</x:f>
        <x:v>319.8361580730838</x:v>
      </x:c>
      <x:c r="M696" s="185" t="n">
        <x:f>MAX('詳細設定'!$D$6,0)*(1+'詳細設定'!$D$21)^(B696-1)</x:f>
        <x:v>41.45065509805275</x:v>
      </x:c>
      <x:c r="N696" s="185" t="n">
        <x:f>IF(B696&lt;=MAX(MIN('詳細設定'!$D$8,20),0),MAX('詳細設定'!$D$7,0),IF(B696&lt;=MAX(MIN('詳細設定'!$D$10,20),0),MAX('詳細設定'!$D$9,0),MAX('詳細設定'!$D$11,0)))</x:f>
        <x:v>8.3</x:v>
      </x:c>
      <x:c r="O696" s="190" t="n">
        <x:f>K696*M696</x:f>
        <x:v>10846.978589596645</x:v>
      </x:c>
      <x:c r="P696" s="190" t="n">
        <x:f>L696*N696</x:f>
        <x:v>2654.640112006596</x:v>
      </x:c>
      <x:c r="Q696" s="190" t="n">
        <x:f>O696+P696</x:f>
        <x:v>13501.618701603242</x:v>
      </x:c>
      <x:c r="R696" s="196" t="n">
        <x:f>J696-K696-L696</x:f>
        <x:v>0</x:v>
      </x:c>
    </x:row>
    <x:row r="697">
      <x:c r="A697" s="20" t="str">
        <x:v>上振れ</x:v>
      </x:c>
      <x:c r="B697" s="20" t="n">
        <x:v>18</x:v>
      </x:c>
      <x:c r="C697" s="20" t="n">
        <x:v>9</x:v>
      </x:c>
      <x:c r="D697" s="189" t="n">
        <x:v>1.1</x:v>
      </x:c>
      <x:c r="E697" s="189" t="n">
        <x:v>0.9</x:v>
      </x:c>
      <x:c r="F697" s="189" t="n">
        <x:f>MAX(MIN('詳細設定'!$D$15+0.05,1),0)</x:f>
        <x:v>0.45</x:v>
      </x:c>
      <x:c r="G697" s="563" t="n">
        <x:f>'_計算月次'!$J$13</x:f>
        <x:v>436.37734765103465</x:v>
      </x:c>
      <x:c r="H697" s="563" t="n">
        <x:f>'_計算月次'!$K$13</x:f>
        <x:v>360</x:v>
      </x:c>
      <x:c r="I697" s="563" t="n">
        <x:f>(1-MAX(MIN('詳細設定'!$D$16,0.999999),0))^(B697-1)</x:f>
        <x:v>1</x:v>
      </x:c>
      <x:c r="J697" s="563" t="n">
        <x:f>MAX(G697*D697*I697,0)</x:f>
        <x:v>480.01508241613817</x:v>
      </x:c>
      <x:c r="K697" s="563" t="n">
        <x:f>MAX(MIN(J697*F697,H697),0)</x:f>
        <x:v>216.00678708726218</x:v>
      </x:c>
      <x:c r="L697" s="563" t="n">
        <x:f>MAX(J697-K697,0)</x:f>
        <x:v>264.008295328876</x:v>
      </x:c>
      <x:c r="M697" s="185" t="n">
        <x:f>MAX('詳細設定'!$D$6,0)*(1+'詳細設定'!$D$21)^(B697-1)</x:f>
        <x:v>41.45065509805275</x:v>
      </x:c>
      <x:c r="N697" s="185" t="n">
        <x:f>IF(B697&lt;=MAX(MIN('詳細設定'!$D$8,20),0),MAX('詳細設定'!$D$7,0),IF(B697&lt;=MAX(MIN('詳細設定'!$D$10,20),0),MAX('詳細設定'!$D$9,0),MAX('詳細設定'!$D$11,0)))</x:f>
        <x:v>8.3</x:v>
      </x:c>
      <x:c r="O697" s="190" t="n">
        <x:f>K697*M697</x:f>
        <x:v>8953.622830392618</x:v>
      </x:c>
      <x:c r="P697" s="190" t="n">
        <x:f>L697*N697</x:f>
        <x:v>2191.268851229671</x:v>
      </x:c>
      <x:c r="Q697" s="190" t="n">
        <x:f>O697+P697</x:f>
        <x:v>11144.891681622288</x:v>
      </x:c>
      <x:c r="R697" s="196" t="n">
        <x:f>J697-K697-L697</x:f>
        <x:v>0</x:v>
      </x:c>
    </x:row>
    <x:row r="698">
      <x:c r="A698" s="20" t="str">
        <x:v>上振れ</x:v>
      </x:c>
      <x:c r="B698" s="20" t="n">
        <x:v>18</x:v>
      </x:c>
      <x:c r="C698" s="20" t="n">
        <x:v>10</x:v>
      </x:c>
      <x:c r="D698" s="189" t="n">
        <x:v>1.1</x:v>
      </x:c>
      <x:c r="E698" s="189" t="n">
        <x:v>0.9</x:v>
      </x:c>
      <x:c r="F698" s="189" t="n">
        <x:f>MAX(MIN('詳細設定'!$D$15+0.05,1),0)</x:f>
        <x:v>0.45</x:v>
      </x:c>
      <x:c r="G698" s="563" t="n">
        <x:f>'_計算月次'!$J$14</x:f>
        <x:v>408.8269849869007</x:v>
      </x:c>
      <x:c r="H698" s="563" t="n">
        <x:f>'_計算月次'!$K$14</x:f>
        <x:v>315.00000000000006</x:v>
      </x:c>
      <x:c r="I698" s="563" t="n">
        <x:f>(1-MAX(MIN('詳細設定'!$D$16,0.999999),0))^(B698-1)</x:f>
        <x:v>1</x:v>
      </x:c>
      <x:c r="J698" s="563" t="n">
        <x:f>MAX(G698*D698*I698,0)</x:f>
        <x:v>449.7096834855908</x:v>
      </x:c>
      <x:c r="K698" s="563" t="n">
        <x:f>MAX(MIN(J698*F698,H698),0)</x:f>
        <x:v>202.36935756851585</x:v>
      </x:c>
      <x:c r="L698" s="563" t="n">
        <x:f>MAX(J698-K698,0)</x:f>
        <x:v>247.34032591707495</x:v>
      </x:c>
      <x:c r="M698" s="185" t="n">
        <x:f>MAX('詳細設定'!$D$6,0)*(1+'詳細設定'!$D$21)^(B698-1)</x:f>
        <x:v>41.45065509805275</x:v>
      </x:c>
      <x:c r="N698" s="185" t="n">
        <x:f>IF(B698&lt;=MAX(MIN('詳細設定'!$D$8,20),0),MAX('詳細設定'!$D$7,0),IF(B698&lt;=MAX(MIN('詳細設定'!$D$10,20),0),MAX('詳細設定'!$D$9,0),MAX('詳細設定'!$D$11,0)))</x:f>
        <x:v>8.3</x:v>
      </x:c>
      <x:c r="O698" s="190" t="n">
        <x:f>K698*M698</x:f>
        <x:v>8388.342442987061</x:v>
      </x:c>
      <x:c r="P698" s="190" t="n">
        <x:f>L698*N698</x:f>
        <x:v>2052.9247051117222</x:v>
      </x:c>
      <x:c r="Q698" s="190" t="n">
        <x:f>O698+P698</x:f>
        <x:v>10441.267148098783</x:v>
      </x:c>
      <x:c r="R698" s="196" t="n">
        <x:f>J698-K698-L698</x:f>
        <x:v>0</x:v>
      </x:c>
    </x:row>
    <x:row r="699">
      <x:c r="A699" s="20" t="str">
        <x:v>上振れ</x:v>
      </x:c>
      <x:c r="B699" s="20" t="n">
        <x:v>18</x:v>
      </x:c>
      <x:c r="C699" s="20" t="n">
        <x:v>11</x:v>
      </x:c>
      <x:c r="D699" s="189" t="n">
        <x:v>1.1</x:v>
      </x:c>
      <x:c r="E699" s="189" t="n">
        <x:v>0.9</x:v>
      </x:c>
      <x:c r="F699" s="189" t="n">
        <x:f>MAX(MIN('詳細設定'!$D$15+0.05,1),0)</x:f>
        <x:v>0.45</x:v>
      </x:c>
      <x:c r="G699" s="563" t="n">
        <x:f>'_計算月次'!$J$15</x:f>
        <x:v>398.45169764745054</x:v>
      </x:c>
      <x:c r="H699" s="563" t="n">
        <x:f>'_計算月次'!$K$15</x:f>
        <x:v>360</x:v>
      </x:c>
      <x:c r="I699" s="563" t="n">
        <x:f>(1-MAX(MIN('詳細設定'!$D$16,0.999999),0))^(B699-1)</x:f>
        <x:v>1</x:v>
      </x:c>
      <x:c r="J699" s="563" t="n">
        <x:f>MAX(G699*D699*I699,0)</x:f>
        <x:v>438.29686741219564</x:v>
      </x:c>
      <x:c r="K699" s="563" t="n">
        <x:f>MAX(MIN(J699*F699,H699),0)</x:f>
        <x:v>197.23359033548803</x:v>
      </x:c>
      <x:c r="L699" s="563" t="n">
        <x:f>MAX(J699-K699,0)</x:f>
        <x:v>241.0632770767076</x:v>
      </x:c>
      <x:c r="M699" s="185" t="n">
        <x:f>MAX('詳細設定'!$D$6,0)*(1+'詳細設定'!$D$21)^(B699-1)</x:f>
        <x:v>41.45065509805275</x:v>
      </x:c>
      <x:c r="N699" s="185" t="n">
        <x:f>IF(B699&lt;=MAX(MIN('詳細設定'!$D$8,20),0),MAX('詳細設定'!$D$7,0),IF(B699&lt;=MAX(MIN('詳細設定'!$D$10,20),0),MAX('詳細設定'!$D$9,0),MAX('詳細設定'!$D$11,0)))</x:f>
        <x:v>8.3</x:v>
      </x:c>
      <x:c r="O699" s="190" t="n">
        <x:f>K699*M699</x:f>
        <x:v>8175.461526746944</x:v>
      </x:c>
      <x:c r="P699" s="190" t="n">
        <x:f>L699*N699</x:f>
        <x:v>2000.8251997366733</x:v>
      </x:c>
      <x:c r="Q699" s="190" t="n">
        <x:f>O699+P699</x:f>
        <x:v>10176.286726483617</x:v>
      </x:c>
      <x:c r="R699" s="196" t="n">
        <x:f>J699-K699-L699</x:f>
        <x:v>0</x:v>
      </x:c>
    </x:row>
    <x:row r="700">
      <x:c r="A700" s="20" t="str">
        <x:v>上振れ</x:v>
      </x:c>
      <x:c r="B700" s="20" t="n">
        <x:v>18</x:v>
      </x:c>
      <x:c r="C700" s="20" t="n">
        <x:v>12</x:v>
      </x:c>
      <x:c r="D700" s="189" t="n">
        <x:v>1.1</x:v>
      </x:c>
      <x:c r="E700" s="189" t="n">
        <x:v>0.9</x:v>
      </x:c>
      <x:c r="F700" s="189" t="n">
        <x:f>MAX(MIN('詳細設定'!$D$15+0.05,1),0)</x:f>
        <x:v>0.45</x:v>
      </x:c>
      <x:c r="G700" s="563" t="n">
        <x:f>'_計算月次'!$J$16</x:f>
        <x:v>443.97248688000184</x:v>
      </x:c>
      <x:c r="H700" s="563" t="n">
        <x:f>'_計算月次'!$K$16</x:f>
        <x:v>405</x:v>
      </x:c>
      <x:c r="I700" s="563" t="n">
        <x:f>(1-MAX(MIN('詳細設定'!$D$16,0.999999),0))^(B700-1)</x:f>
        <x:v>1</x:v>
      </x:c>
      <x:c r="J700" s="563" t="n">
        <x:f>MAX(G700*D700*I700,0)</x:f>
        <x:v>488.36973556800206</x:v>
      </x:c>
      <x:c r="K700" s="563" t="n">
        <x:f>MAX(MIN(J700*F700,H700),0)</x:f>
        <x:v>219.76638100560092</x:v>
      </x:c>
      <x:c r="L700" s="563" t="n">
        <x:f>MAX(J700-K700,0)</x:f>
        <x:v>268.60335456240114</x:v>
      </x:c>
      <x:c r="M700" s="185" t="n">
        <x:f>MAX('詳細設定'!$D$6,0)*(1+'詳細設定'!$D$21)^(B700-1)</x:f>
        <x:v>41.45065509805275</x:v>
      </x:c>
      <x:c r="N700" s="185" t="n">
        <x:f>IF(B700&lt;=MAX(MIN('詳細設定'!$D$8,20),0),MAX('詳細設定'!$D$7,0),IF(B700&lt;=MAX(MIN('詳細設定'!$D$10,20),0),MAX('詳細設定'!$D$9,0),MAX('詳細設定'!$D$11,0)))</x:f>
        <x:v>8.3</x:v>
      </x:c>
      <x:c r="O700" s="190" t="n">
        <x:f>K700*M700</x:f>
        <x:v>9109.460461210414</x:v>
      </x:c>
      <x:c r="P700" s="190" t="n">
        <x:f>L700*N700</x:f>
        <x:v>2229.4078428679295</x:v>
      </x:c>
      <x:c r="Q700" s="190" t="n">
        <x:f>O700+P700</x:f>
        <x:v>11338.868304078343</x:v>
      </x:c>
      <x:c r="R700" s="196" t="n">
        <x:f>J700-K700-L700</x:f>
        <x:v>0</x:v>
      </x:c>
    </x:row>
    <x:row r="701">
      <x:c r="A701" s="20" t="str">
        <x:v>上振れ</x:v>
      </x:c>
      <x:c r="B701" s="20" t="n">
        <x:v>19</x:v>
      </x:c>
      <x:c r="C701" s="20" t="n">
        <x:v>1</x:v>
      </x:c>
      <x:c r="D701" s="189" t="n">
        <x:v>1.1</x:v>
      </x:c>
      <x:c r="E701" s="189" t="n">
        <x:v>0.9</x:v>
      </x:c>
      <x:c r="F701" s="189" t="n">
        <x:f>MAX(MIN('詳細設定'!$D$15+0.05,1),0)</x:f>
        <x:v>0.45</x:v>
      </x:c>
      <x:c r="G701" s="563" t="n">
        <x:f>'_計算月次'!$J$5</x:f>
        <x:v>502.4147595742038</x:v>
      </x:c>
      <x:c r="H701" s="563" t="n">
        <x:f>'_計算月次'!$K$5</x:f>
        <x:v>450</x:v>
      </x:c>
      <x:c r="I701" s="563" t="n">
        <x:f>(1-MAX(MIN('詳細設定'!$D$16,0.999999),0))^(B701-1)</x:f>
        <x:v>1</x:v>
      </x:c>
      <x:c r="J701" s="563" t="n">
        <x:f>MAX(G701*D701*I701,0)</x:f>
        <x:v>552.6562355316242</x:v>
      </x:c>
      <x:c r="K701" s="563" t="n">
        <x:f>MAX(MIN(J701*F701,H701),0)</x:f>
        <x:v>248.69530598923092</x:v>
      </x:c>
      <x:c r="L701" s="563" t="n">
        <x:f>MAX(J701-K701,0)</x:f>
        <x:v>303.96092954239333</x:v>
      </x:c>
      <x:c r="M701" s="185" t="n">
        <x:f>MAX('詳細設定'!$D$6,0)*(1+'詳細設定'!$D$21)^(B701-1)</x:f>
        <x:v>41.865161649033276</x:v>
      </x:c>
      <x:c r="N701" s="185" t="n">
        <x:f>IF(B701&lt;=MAX(MIN('詳細設定'!$D$8,20),0),MAX('詳細設定'!$D$7,0),IF(B701&lt;=MAX(MIN('詳細設定'!$D$10,20),0),MAX('詳細設定'!$D$9,0),MAX('詳細設定'!$D$11,0)))</x:f>
        <x:v>8.3</x:v>
      </x:c>
      <x:c r="O701" s="190" t="n">
        <x:f>K701*M701</x:f>
        <x:v>10411.669186594945</x:v>
      </x:c>
      <x:c r="P701" s="190" t="n">
        <x:f>L701*N701</x:f>
        <x:v>2522.8757152018648</x:v>
      </x:c>
      <x:c r="Q701" s="190" t="n">
        <x:f>O701+P701</x:f>
        <x:v>12934.54490179681</x:v>
      </x:c>
      <x:c r="R701" s="196" t="n">
        <x:f>J701-K701-L701</x:f>
        <x:v>0</x:v>
      </x:c>
    </x:row>
    <x:row r="702">
      <x:c r="A702" s="20" t="str">
        <x:v>上振れ</x:v>
      </x:c>
      <x:c r="B702" s="20" t="n">
        <x:v>19</x:v>
      </x:c>
      <x:c r="C702" s="20" t="n">
        <x:v>2</x:v>
      </x:c>
      <x:c r="D702" s="189" t="n">
        <x:v>1.1</x:v>
      </x:c>
      <x:c r="E702" s="189" t="n">
        <x:v>0.9</x:v>
      </x:c>
      <x:c r="F702" s="189" t="n">
        <x:f>MAX(MIN('詳細設定'!$D$15+0.05,1),0)</x:f>
        <x:v>0.45</x:v>
      </x:c>
      <x:c r="G702" s="563" t="n">
        <x:f>'_計算月次'!$J$6</x:f>
        <x:v>472.4508339500229</x:v>
      </x:c>
      <x:c r="H702" s="563" t="n">
        <x:f>'_計算月次'!$K$6</x:f>
        <x:v>405</x:v>
      </x:c>
      <x:c r="I702" s="563" t="n">
        <x:f>(1-MAX(MIN('詳細設定'!$D$16,0.999999),0))^(B702-1)</x:f>
        <x:v>1</x:v>
      </x:c>
      <x:c r="J702" s="563" t="n">
        <x:f>MAX(G702*D702*I702,0)</x:f>
        <x:v>519.6959173450252</x:v>
      </x:c>
      <x:c r="K702" s="563" t="n">
        <x:f>MAX(MIN(J702*F702,H702),0)</x:f>
        <x:v>233.86316280526137</x:v>
      </x:c>
      <x:c r="L702" s="563" t="n">
        <x:f>MAX(J702-K702,0)</x:f>
        <x:v>285.83275453976387</x:v>
      </x:c>
      <x:c r="M702" s="185" t="n">
        <x:f>MAX('詳細設定'!$D$6,0)*(1+'詳細設定'!$D$21)^(B702-1)</x:f>
        <x:v>41.865161649033276</x:v>
      </x:c>
      <x:c r="N702" s="185" t="n">
        <x:f>IF(B702&lt;=MAX(MIN('詳細設定'!$D$8,20),0),MAX('詳細設定'!$D$7,0),IF(B702&lt;=MAX(MIN('詳細設定'!$D$10,20),0),MAX('詳細設定'!$D$9,0),MAX('詳細設定'!$D$11,0)))</x:f>
        <x:v>8.3</x:v>
      </x:c>
      <x:c r="O702" s="190" t="n">
        <x:f>K702*M702</x:f>
        <x:v>9790.719114596453</x:v>
      </x:c>
      <x:c r="P702" s="190" t="n">
        <x:f>L702*N702</x:f>
        <x:v>2372.4118626800405</x:v>
      </x:c>
      <x:c r="Q702" s="190" t="n">
        <x:f>O702+P702</x:f>
        <x:v>12163.130977276494</x:v>
      </x:c>
      <x:c r="R702" s="196" t="n">
        <x:f>J702-K702-L702</x:f>
        <x:v>0</x:v>
      </x:c>
    </x:row>
    <x:row r="703">
      <x:c r="A703" s="20" t="str">
        <x:v>上振れ</x:v>
      </x:c>
      <x:c r="B703" s="20" t="n">
        <x:v>19</x:v>
      </x:c>
      <x:c r="C703" s="20" t="n">
        <x:v>3</x:v>
      </x:c>
      <x:c r="D703" s="189" t="n">
        <x:v>1.1</x:v>
      </x:c>
      <x:c r="E703" s="189" t="n">
        <x:v>0.9</x:v>
      </x:c>
      <x:c r="F703" s="189" t="n">
        <x:f>MAX(MIN('詳細設定'!$D$15+0.05,1),0)</x:f>
        <x:v>0.45</x:v>
      </x:c>
      <x:c r="G703" s="563" t="n">
        <x:f>'_計算月次'!$J$7</x:f>
        <x:v>548.3418864753118</x:v>
      </x:c>
      <x:c r="H703" s="563" t="n">
        <x:f>'_計算月次'!$K$7</x:f>
        <x:v>360</x:v>
      </x:c>
      <x:c r="I703" s="563" t="n">
        <x:f>(1-MAX(MIN('詳細設定'!$D$16,0.999999),0))^(B703-1)</x:f>
        <x:v>1</x:v>
      </x:c>
      <x:c r="J703" s="563" t="n">
        <x:f>MAX(G703*D703*I703,0)</x:f>
        <x:v>603.176075122843</x:v>
      </x:c>
      <x:c r="K703" s="563" t="n">
        <x:f>MAX(MIN(J703*F703,H703),0)</x:f>
        <x:v>271.42923380527935</x:v>
      </x:c>
      <x:c r="L703" s="563" t="n">
        <x:f>MAX(J703-K703,0)</x:f>
        <x:v>331.7468413175637</x:v>
      </x:c>
      <x:c r="M703" s="185" t="n">
        <x:f>MAX('詳細設定'!$D$6,0)*(1+'詳細設定'!$D$21)^(B703-1)</x:f>
        <x:v>41.865161649033276</x:v>
      </x:c>
      <x:c r="N703" s="185" t="n">
        <x:f>IF(B703&lt;=MAX(MIN('詳細設定'!$D$8,20),0),MAX('詳細設定'!$D$7,0),IF(B703&lt;=MAX(MIN('詳細設定'!$D$10,20),0),MAX('詳細設定'!$D$9,0),MAX('詳細設定'!$D$11,0)))</x:f>
        <x:v>8.3</x:v>
      </x:c>
      <x:c r="O703" s="190" t="n">
        <x:f>K703*M703</x:f>
        <x:v>11363.428749531267</x:v>
      </x:c>
      <x:c r="P703" s="190" t="n">
        <x:f>L703*N703</x:f>
        <x:v>2753.4987829357788</x:v>
      </x:c>
      <x:c r="Q703" s="190" t="n">
        <x:f>O703+P703</x:f>
        <x:v>14116.927532467045</x:v>
      </x:c>
      <x:c r="R703" s="196" t="n">
        <x:f>J703-K703-L703</x:f>
        <x:v>0</x:v>
      </x:c>
    </x:row>
    <x:row r="704">
      <x:c r="A704" s="20" t="str">
        <x:v>上振れ</x:v>
      </x:c>
      <x:c r="B704" s="20" t="n">
        <x:v>19</x:v>
      </x:c>
      <x:c r="C704" s="20" t="n">
        <x:v>4</x:v>
      </x:c>
      <x:c r="D704" s="189" t="n">
        <x:v>1.1</x:v>
      </x:c>
      <x:c r="E704" s="189" t="n">
        <x:v>0.9</x:v>
      </x:c>
      <x:c r="F704" s="189" t="n">
        <x:f>MAX(MIN('詳細設定'!$D$15+0.05,1),0)</x:f>
        <x:v>0.45</x:v>
      </x:c>
      <x:c r="G704" s="563" t="n">
        <x:f>'_計算月次'!$J$8</x:f>
        <x:v>548.3944393749554</x:v>
      </x:c>
      <x:c r="H704" s="563" t="n">
        <x:f>'_計算月次'!$K$8</x:f>
        <x:v>315.00000000000006</x:v>
      </x:c>
      <x:c r="I704" s="563" t="n">
        <x:f>(1-MAX(MIN('詳細設定'!$D$16,0.999999),0))^(B704-1)</x:f>
        <x:v>1</x:v>
      </x:c>
      <x:c r="J704" s="563" t="n">
        <x:f>MAX(G704*D704*I704,0)</x:f>
        <x:v>603.233883312451</x:v>
      </x:c>
      <x:c r="K704" s="563" t="n">
        <x:f>MAX(MIN(J704*F704,H704),0)</x:f>
        <x:v>271.45524749060297</x:v>
      </x:c>
      <x:c r="L704" s="563" t="n">
        <x:f>MAX(J704-K704,0)</x:f>
        <x:v>331.778635821848</x:v>
      </x:c>
      <x:c r="M704" s="185" t="n">
        <x:f>MAX('詳細設定'!$D$6,0)*(1+'詳細設定'!$D$21)^(B704-1)</x:f>
        <x:v>41.865161649033276</x:v>
      </x:c>
      <x:c r="N704" s="185" t="n">
        <x:f>IF(B704&lt;=MAX(MIN('詳細設定'!$D$8,20),0),MAX('詳細設定'!$D$7,0),IF(B704&lt;=MAX(MIN('詳細設定'!$D$10,20),0),MAX('詳細設定'!$D$9,0),MAX('詳細設定'!$D$11,0)))</x:f>
        <x:v>8.3</x:v>
      </x:c>
      <x:c r="O704" s="190" t="n">
        <x:f>K704*M704</x:f>
        <x:v>11364.517816672427</x:v>
      </x:c>
      <x:c r="P704" s="190" t="n">
        <x:f>L704*N704</x:f>
        <x:v>2753.7626773213387</x:v>
      </x:c>
      <x:c r="Q704" s="190" t="n">
        <x:f>O704+P704</x:f>
        <x:v>14118.280493993767</x:v>
      </x:c>
      <x:c r="R704" s="196" t="n">
        <x:f>J704-K704-L704</x:f>
        <x:v>0</x:v>
      </x:c>
    </x:row>
    <x:row r="705">
      <x:c r="A705" s="20" t="str">
        <x:v>上振れ</x:v>
      </x:c>
      <x:c r="B705" s="20" t="n">
        <x:v>19</x:v>
      </x:c>
      <x:c r="C705" s="20" t="n">
        <x:v>5</x:v>
      </x:c>
      <x:c r="D705" s="189" t="n">
        <x:v>1.1</x:v>
      </x:c>
      <x:c r="E705" s="189" t="n">
        <x:v>0.9</x:v>
      </x:c>
      <x:c r="F705" s="189" t="n">
        <x:f>MAX(MIN('詳細設定'!$D$15+0.05,1),0)</x:f>
        <x:v>0.45</x:v>
      </x:c>
      <x:c r="G705" s="563" t="n">
        <x:f>'_計算月次'!$J$9</x:f>
        <x:v>552.2367574934775</x:v>
      </x:c>
      <x:c r="H705" s="563" t="n">
        <x:f>'_計算月次'!$K$9</x:f>
        <x:v>315.00000000000006</x:v>
      </x:c>
      <x:c r="I705" s="563" t="n">
        <x:f>(1-MAX(MIN('詳細設定'!$D$16,0.999999),0))^(B705-1)</x:f>
        <x:v>1</x:v>
      </x:c>
      <x:c r="J705" s="563" t="n">
        <x:f>MAX(G705*D705*I705,0)</x:f>
        <x:v>607.4604332428253</x:v>
      </x:c>
      <x:c r="K705" s="563" t="n">
        <x:f>MAX(MIN(J705*F705,H705),0)</x:f>
        <x:v>273.3571949592714</x:v>
      </x:c>
      <x:c r="L705" s="563" t="n">
        <x:f>MAX(J705-K705,0)</x:f>
        <x:v>334.1032382835539</x:v>
      </x:c>
      <x:c r="M705" s="185" t="n">
        <x:f>MAX('詳細設定'!$D$6,0)*(1+'詳細設定'!$D$21)^(B705-1)</x:f>
        <x:v>41.865161649033276</x:v>
      </x:c>
      <x:c r="N705" s="185" t="n">
        <x:f>IF(B705&lt;=MAX(MIN('詳細設定'!$D$8,20),0),MAX('詳細設定'!$D$7,0),IF(B705&lt;=MAX(MIN('詳細設定'!$D$10,20),0),MAX('詳細設定'!$D$9,0),MAX('詳細設定'!$D$11,0)))</x:f>
        <x:v>8.3</x:v>
      </x:c>
      <x:c r="O705" s="190" t="n">
        <x:f>K705*M705</x:f>
        <x:v>11444.143154896201</x:v>
      </x:c>
      <x:c r="P705" s="190" t="n">
        <x:f>L705*N705</x:f>
        <x:v>2773.0568777534972</x:v>
      </x:c>
      <x:c r="Q705" s="190" t="n">
        <x:f>O705+P705</x:f>
        <x:v>14217.200032649698</x:v>
      </x:c>
      <x:c r="R705" s="196" t="n">
        <x:f>J705-K705-L705</x:f>
        <x:v>0</x:v>
      </x:c>
    </x:row>
    <x:row r="706">
      <x:c r="A706" s="20" t="str">
        <x:v>上振れ</x:v>
      </x:c>
      <x:c r="B706" s="20" t="n">
        <x:v>19</x:v>
      </x:c>
      <x:c r="C706" s="20" t="n">
        <x:v>6</x:v>
      </x:c>
      <x:c r="D706" s="189" t="n">
        <x:v>1.1</x:v>
      </x:c>
      <x:c r="E706" s="189" t="n">
        <x:v>0.9</x:v>
      </x:c>
      <x:c r="F706" s="189" t="n">
        <x:f>MAX(MIN('詳細設定'!$D$15+0.05,1),0)</x:f>
        <x:v>0.45</x:v>
      </x:c>
      <x:c r="G706" s="563" t="n">
        <x:f>'_計算月次'!$J$10</x:f>
        <x:v>448.7994857612148</x:v>
      </x:c>
      <x:c r="H706" s="563" t="n">
        <x:f>'_計算月次'!$K$10</x:f>
        <x:v>360</x:v>
      </x:c>
      <x:c r="I706" s="563" t="n">
        <x:f>(1-MAX(MIN('詳細設定'!$D$16,0.999999),0))^(B706-1)</x:f>
        <x:v>1</x:v>
      </x:c>
      <x:c r="J706" s="563" t="n">
        <x:f>MAX(G706*D706*I706,0)</x:f>
        <x:v>493.6794343373363</x:v>
      </x:c>
      <x:c r="K706" s="563" t="n">
        <x:f>MAX(MIN(J706*F706,H706),0)</x:f>
        <x:v>222.15574545180135</x:v>
      </x:c>
      <x:c r="L706" s="563" t="n">
        <x:f>MAX(J706-K706,0)</x:f>
        <x:v>271.52368888553497</x:v>
      </x:c>
      <x:c r="M706" s="185" t="n">
        <x:f>MAX('詳細設定'!$D$6,0)*(1+'詳細設定'!$D$21)^(B706-1)</x:f>
        <x:v>41.865161649033276</x:v>
      </x:c>
      <x:c r="N706" s="185" t="n">
        <x:f>IF(B706&lt;=MAX(MIN('詳細設定'!$D$8,20),0),MAX('詳細設定'!$D$7,0),IF(B706&lt;=MAX(MIN('詳細設定'!$D$10,20),0),MAX('詳細設定'!$D$9,0),MAX('詳細設定'!$D$11,0)))</x:f>
        <x:v>8.3</x:v>
      </x:c>
      <x:c r="O706" s="190" t="n">
        <x:f>K706*M706</x:f>
        <x:v>9300.586194601152</x:v>
      </x:c>
      <x:c r="P706" s="190" t="n">
        <x:f>L706*N706</x:f>
        <x:v>2253.6466177499406</x:v>
      </x:c>
      <x:c r="Q706" s="190" t="n">
        <x:f>O706+P706</x:f>
        <x:v>11554.232812351092</x:v>
      </x:c>
      <x:c r="R706" s="196" t="n">
        <x:f>J706-K706-L706</x:f>
        <x:v>0</x:v>
      </x:c>
    </x:row>
    <x:row r="707">
      <x:c r="A707" s="20" t="str">
        <x:v>上振れ</x:v>
      </x:c>
      <x:c r="B707" s="20" t="n">
        <x:v>19</x:v>
      </x:c>
      <x:c r="C707" s="20" t="n">
        <x:v>7</x:v>
      </x:c>
      <x:c r="D707" s="189" t="n">
        <x:v>1.1</x:v>
      </x:c>
      <x:c r="E707" s="189" t="n">
        <x:v>0.9</x:v>
      </x:c>
      <x:c r="F707" s="189" t="n">
        <x:f>MAX(MIN('詳細設定'!$D$15+0.05,1),0)</x:f>
        <x:v>0.45</x:v>
      </x:c>
      <x:c r="G707" s="563" t="n">
        <x:f>'_計算月次'!$J$11</x:f>
        <x:v>476.0181638067866</x:v>
      </x:c>
      <x:c r="H707" s="563" t="n">
        <x:f>'_計算月次'!$K$11</x:f>
        <x:v>405</x:v>
      </x:c>
      <x:c r="I707" s="563" t="n">
        <x:f>(1-MAX(MIN('詳細設定'!$D$16,0.999999),0))^(B707-1)</x:f>
        <x:v>1</x:v>
      </x:c>
      <x:c r="J707" s="563" t="n">
        <x:f>MAX(G707*D707*I707,0)</x:f>
        <x:v>523.6199801874653</x:v>
      </x:c>
      <x:c r="K707" s="563" t="n">
        <x:f>MAX(MIN(J707*F707,H707),0)</x:f>
        <x:v>235.6289910843594</x:v>
      </x:c>
      <x:c r="L707" s="563" t="n">
        <x:f>MAX(J707-K707,0)</x:f>
        <x:v>287.9909891031059</x:v>
      </x:c>
      <x:c r="M707" s="185" t="n">
        <x:f>MAX('詳細設定'!$D$6,0)*(1+'詳細設定'!$D$21)^(B707-1)</x:f>
        <x:v>41.865161649033276</x:v>
      </x:c>
      <x:c r="N707" s="185" t="n">
        <x:f>IF(B707&lt;=MAX(MIN('詳細設定'!$D$8,20),0),MAX('詳細設定'!$D$7,0),IF(B707&lt;=MAX(MIN('詳細設定'!$D$10,20),0),MAX('詳細設定'!$D$9,0),MAX('詳細設定'!$D$11,0)))</x:f>
        <x:v>8.3</x:v>
      </x:c>
      <x:c r="O707" s="190" t="n">
        <x:f>K707*M707</x:f>
        <x:v>9864.645800945327</x:v>
      </x:c>
      <x:c r="P707" s="190" t="n">
        <x:f>L707*N707</x:f>
        <x:v>2390.325209555779</x:v>
      </x:c>
      <x:c r="Q707" s="190" t="n">
        <x:f>O707+P707</x:f>
        <x:v>12254.971010501107</x:v>
      </x:c>
      <x:c r="R707" s="196" t="n">
        <x:f>J707-K707-L707</x:f>
        <x:v>0</x:v>
      </x:c>
    </x:row>
    <x:row r="708">
      <x:c r="A708" s="20" t="str">
        <x:v>上振れ</x:v>
      </x:c>
      <x:c r="B708" s="20" t="n">
        <x:v>19</x:v>
      </x:c>
      <x:c r="C708" s="20" t="n">
        <x:v>8</x:v>
      </x:c>
      <x:c r="D708" s="189" t="n">
        <x:v>1.1</x:v>
      </x:c>
      <x:c r="E708" s="189" t="n">
        <x:v>0.9</x:v>
      </x:c>
      <x:c r="F708" s="189" t="n">
        <x:f>MAX(MIN('詳細設定'!$D$15+0.05,1),0)</x:f>
        <x:v>0.45</x:v>
      </x:c>
      <x:c r="G708" s="563" t="n">
        <x:f>'_計算月次'!$J$12</x:f>
        <x:v>528.6548067323699</x:v>
      </x:c>
      <x:c r="H708" s="563" t="n">
        <x:f>'_計算月次'!$K$12</x:f>
        <x:v>450</x:v>
      </x:c>
      <x:c r="I708" s="563" t="n">
        <x:f>(1-MAX(MIN('詳細設定'!$D$16,0.999999),0))^(B708-1)</x:f>
        <x:v>1</x:v>
      </x:c>
      <x:c r="J708" s="563" t="n">
        <x:f>MAX(G708*D708*I708,0)</x:f>
        <x:v>581.520287405607</x:v>
      </x:c>
      <x:c r="K708" s="563" t="n">
        <x:f>MAX(MIN(J708*F708,H708),0)</x:f>
        <x:v>261.6841293325231</x:v>
      </x:c>
      <x:c r="L708" s="563" t="n">
        <x:f>MAX(J708-K708,0)</x:f>
        <x:v>319.8361580730838</x:v>
      </x:c>
      <x:c r="M708" s="185" t="n">
        <x:f>MAX('詳細設定'!$D$6,0)*(1+'詳細設定'!$D$21)^(B708-1)</x:f>
        <x:v>41.865161649033276</x:v>
      </x:c>
      <x:c r="N708" s="185" t="n">
        <x:f>IF(B708&lt;=MAX(MIN('詳細設定'!$D$8,20),0),MAX('詳細設定'!$D$7,0),IF(B708&lt;=MAX(MIN('詳細設定'!$D$10,20),0),MAX('詳細設定'!$D$9,0),MAX('詳細設定'!$D$11,0)))</x:f>
        <x:v>8.3</x:v>
      </x:c>
      <x:c r="O708" s="190" t="n">
        <x:f>K708*M708</x:f>
        <x:v>10955.448375492611</x:v>
      </x:c>
      <x:c r="P708" s="190" t="n">
        <x:f>L708*N708</x:f>
        <x:v>2654.640112006596</x:v>
      </x:c>
      <x:c r="Q708" s="190" t="n">
        <x:f>O708+P708</x:f>
        <x:v>13610.088487499208</x:v>
      </x:c>
      <x:c r="R708" s="196" t="n">
        <x:f>J708-K708-L708</x:f>
        <x:v>0</x:v>
      </x:c>
    </x:row>
    <x:row r="709">
      <x:c r="A709" s="20" t="str">
        <x:v>上振れ</x:v>
      </x:c>
      <x:c r="B709" s="20" t="n">
        <x:v>19</x:v>
      </x:c>
      <x:c r="C709" s="20" t="n">
        <x:v>9</x:v>
      </x:c>
      <x:c r="D709" s="189" t="n">
        <x:v>1.1</x:v>
      </x:c>
      <x:c r="E709" s="189" t="n">
        <x:v>0.9</x:v>
      </x:c>
      <x:c r="F709" s="189" t="n">
        <x:f>MAX(MIN('詳細設定'!$D$15+0.05,1),0)</x:f>
        <x:v>0.45</x:v>
      </x:c>
      <x:c r="G709" s="563" t="n">
        <x:f>'_計算月次'!$J$13</x:f>
        <x:v>436.37734765103465</x:v>
      </x:c>
      <x:c r="H709" s="563" t="n">
        <x:f>'_計算月次'!$K$13</x:f>
        <x:v>360</x:v>
      </x:c>
      <x:c r="I709" s="563" t="n">
        <x:f>(1-MAX(MIN('詳細設定'!$D$16,0.999999),0))^(B709-1)</x:f>
        <x:v>1</x:v>
      </x:c>
      <x:c r="J709" s="563" t="n">
        <x:f>MAX(G709*D709*I709,0)</x:f>
        <x:v>480.01508241613817</x:v>
      </x:c>
      <x:c r="K709" s="563" t="n">
        <x:f>MAX(MIN(J709*F709,H709),0)</x:f>
        <x:v>216.00678708726218</x:v>
      </x:c>
      <x:c r="L709" s="563" t="n">
        <x:f>MAX(J709-K709,0)</x:f>
        <x:v>264.008295328876</x:v>
      </x:c>
      <x:c r="M709" s="185" t="n">
        <x:f>MAX('詳細設定'!$D$6,0)*(1+'詳細設定'!$D$21)^(B709-1)</x:f>
        <x:v>41.865161649033276</x:v>
      </x:c>
      <x:c r="N709" s="185" t="n">
        <x:f>IF(B709&lt;=MAX(MIN('詳細設定'!$D$8,20),0),MAX('詳細設定'!$D$7,0),IF(B709&lt;=MAX(MIN('詳細設定'!$D$10,20),0),MAX('詳細設定'!$D$9,0),MAX('詳細設定'!$D$11,0)))</x:f>
        <x:v>8.3</x:v>
      </x:c>
      <x:c r="O709" s="190" t="n">
        <x:f>K709*M709</x:f>
        <x:v>9043.159058696545</x:v>
      </x:c>
      <x:c r="P709" s="190" t="n">
        <x:f>L709*N709</x:f>
        <x:v>2191.268851229671</x:v>
      </x:c>
      <x:c r="Q709" s="190" t="n">
        <x:f>O709+P709</x:f>
        <x:v>11234.427909926217</x:v>
      </x:c>
      <x:c r="R709" s="196" t="n">
        <x:f>J709-K709-L709</x:f>
        <x:v>0</x:v>
      </x:c>
    </x:row>
    <x:row r="710">
      <x:c r="A710" s="20" t="str">
        <x:v>上振れ</x:v>
      </x:c>
      <x:c r="B710" s="20" t="n">
        <x:v>19</x:v>
      </x:c>
      <x:c r="C710" s="20" t="n">
        <x:v>10</x:v>
      </x:c>
      <x:c r="D710" s="189" t="n">
        <x:v>1.1</x:v>
      </x:c>
      <x:c r="E710" s="189" t="n">
        <x:v>0.9</x:v>
      </x:c>
      <x:c r="F710" s="189" t="n">
        <x:f>MAX(MIN('詳細設定'!$D$15+0.05,1),0)</x:f>
        <x:v>0.45</x:v>
      </x:c>
      <x:c r="G710" s="563" t="n">
        <x:f>'_計算月次'!$J$14</x:f>
        <x:v>408.8269849869007</x:v>
      </x:c>
      <x:c r="H710" s="563" t="n">
        <x:f>'_計算月次'!$K$14</x:f>
        <x:v>315.00000000000006</x:v>
      </x:c>
      <x:c r="I710" s="563" t="n">
        <x:f>(1-MAX(MIN('詳細設定'!$D$16,0.999999),0))^(B710-1)</x:f>
        <x:v>1</x:v>
      </x:c>
      <x:c r="J710" s="563" t="n">
        <x:f>MAX(G710*D710*I710,0)</x:f>
        <x:v>449.7096834855908</x:v>
      </x:c>
      <x:c r="K710" s="563" t="n">
        <x:f>MAX(MIN(J710*F710,H710),0)</x:f>
        <x:v>202.36935756851585</x:v>
      </x:c>
      <x:c r="L710" s="563" t="n">
        <x:f>MAX(J710-K710,0)</x:f>
        <x:v>247.34032591707495</x:v>
      </x:c>
      <x:c r="M710" s="185" t="n">
        <x:f>MAX('詳細設定'!$D$6,0)*(1+'詳細設定'!$D$21)^(B710-1)</x:f>
        <x:v>41.865161649033276</x:v>
      </x:c>
      <x:c r="N710" s="185" t="n">
        <x:f>IF(B710&lt;=MAX(MIN('詳細設定'!$D$8,20),0),MAX('詳細設定'!$D$7,0),IF(B710&lt;=MAX(MIN('詳細設定'!$D$10,20),0),MAX('詳細設定'!$D$9,0),MAX('詳細設定'!$D$11,0)))</x:f>
        <x:v>8.3</x:v>
      </x:c>
      <x:c r="O710" s="190" t="n">
        <x:f>K710*M710</x:f>
        <x:v>8472.225867416932</x:v>
      </x:c>
      <x:c r="P710" s="190" t="n">
        <x:f>L710*N710</x:f>
        <x:v>2052.9247051117222</x:v>
      </x:c>
      <x:c r="Q710" s="190" t="n">
        <x:f>O710+P710</x:f>
        <x:v>10525.150572528653</x:v>
      </x:c>
      <x:c r="R710" s="196" t="n">
        <x:f>J710-K710-L710</x:f>
        <x:v>0</x:v>
      </x:c>
    </x:row>
    <x:row r="711">
      <x:c r="A711" s="20" t="str">
        <x:v>上振れ</x:v>
      </x:c>
      <x:c r="B711" s="20" t="n">
        <x:v>19</x:v>
      </x:c>
      <x:c r="C711" s="20" t="n">
        <x:v>11</x:v>
      </x:c>
      <x:c r="D711" s="189" t="n">
        <x:v>1.1</x:v>
      </x:c>
      <x:c r="E711" s="189" t="n">
        <x:v>0.9</x:v>
      </x:c>
      <x:c r="F711" s="189" t="n">
        <x:f>MAX(MIN('詳細設定'!$D$15+0.05,1),0)</x:f>
        <x:v>0.45</x:v>
      </x:c>
      <x:c r="G711" s="563" t="n">
        <x:f>'_計算月次'!$J$15</x:f>
        <x:v>398.45169764745054</x:v>
      </x:c>
      <x:c r="H711" s="563" t="n">
        <x:f>'_計算月次'!$K$15</x:f>
        <x:v>360</x:v>
      </x:c>
      <x:c r="I711" s="563" t="n">
        <x:f>(1-MAX(MIN('詳細設定'!$D$16,0.999999),0))^(B711-1)</x:f>
        <x:v>1</x:v>
      </x:c>
      <x:c r="J711" s="563" t="n">
        <x:f>MAX(G711*D711*I711,0)</x:f>
        <x:v>438.29686741219564</x:v>
      </x:c>
      <x:c r="K711" s="563" t="n">
        <x:f>MAX(MIN(J711*F711,H711),0)</x:f>
        <x:v>197.23359033548803</x:v>
      </x:c>
      <x:c r="L711" s="563" t="n">
        <x:f>MAX(J711-K711,0)</x:f>
        <x:v>241.0632770767076</x:v>
      </x:c>
      <x:c r="M711" s="185" t="n">
        <x:f>MAX('詳細設定'!$D$6,0)*(1+'詳細設定'!$D$21)^(B711-1)</x:f>
        <x:v>41.865161649033276</x:v>
      </x:c>
      <x:c r="N711" s="185" t="n">
        <x:f>IF(B711&lt;=MAX(MIN('詳細設定'!$D$8,20),0),MAX('詳細設定'!$D$7,0),IF(B711&lt;=MAX(MIN('詳細設定'!$D$10,20),0),MAX('詳細設定'!$D$9,0),MAX('詳細設定'!$D$11,0)))</x:f>
        <x:v>8.3</x:v>
      </x:c>
      <x:c r="O711" s="190" t="n">
        <x:f>K711*M711</x:f>
        <x:v>8257.216142014413</x:v>
      </x:c>
      <x:c r="P711" s="190" t="n">
        <x:f>L711*N711</x:f>
        <x:v>2000.8251997366733</x:v>
      </x:c>
      <x:c r="Q711" s="190" t="n">
        <x:f>O711+P711</x:f>
        <x:v>10258.041341751086</x:v>
      </x:c>
      <x:c r="R711" s="196" t="n">
        <x:f>J711-K711-L711</x:f>
        <x:v>0</x:v>
      </x:c>
    </x:row>
    <x:row r="712">
      <x:c r="A712" s="20" t="str">
        <x:v>上振れ</x:v>
      </x:c>
      <x:c r="B712" s="20" t="n">
        <x:v>19</x:v>
      </x:c>
      <x:c r="C712" s="20" t="n">
        <x:v>12</x:v>
      </x:c>
      <x:c r="D712" s="189" t="n">
        <x:v>1.1</x:v>
      </x:c>
      <x:c r="E712" s="189" t="n">
        <x:v>0.9</x:v>
      </x:c>
      <x:c r="F712" s="189" t="n">
        <x:f>MAX(MIN('詳細設定'!$D$15+0.05,1),0)</x:f>
        <x:v>0.45</x:v>
      </x:c>
      <x:c r="G712" s="563" t="n">
        <x:f>'_計算月次'!$J$16</x:f>
        <x:v>443.97248688000184</x:v>
      </x:c>
      <x:c r="H712" s="563" t="n">
        <x:f>'_計算月次'!$K$16</x:f>
        <x:v>405</x:v>
      </x:c>
      <x:c r="I712" s="563" t="n">
        <x:f>(1-MAX(MIN('詳細設定'!$D$16,0.999999),0))^(B712-1)</x:f>
        <x:v>1</x:v>
      </x:c>
      <x:c r="J712" s="563" t="n">
        <x:f>MAX(G712*D712*I712,0)</x:f>
        <x:v>488.36973556800206</x:v>
      </x:c>
      <x:c r="K712" s="563" t="n">
        <x:f>MAX(MIN(J712*F712,H712),0)</x:f>
        <x:v>219.76638100560092</x:v>
      </x:c>
      <x:c r="L712" s="563" t="n">
        <x:f>MAX(J712-K712,0)</x:f>
        <x:v>268.60335456240114</x:v>
      </x:c>
      <x:c r="M712" s="185" t="n">
        <x:f>MAX('詳細設定'!$D$6,0)*(1+'詳細設定'!$D$21)^(B712-1)</x:f>
        <x:v>41.865161649033276</x:v>
      </x:c>
      <x:c r="N712" s="185" t="n">
        <x:f>IF(B712&lt;=MAX(MIN('詳細設定'!$D$8,20),0),MAX('詳細設定'!$D$7,0),IF(B712&lt;=MAX(MIN('詳細設定'!$D$10,20),0),MAX('詳細設定'!$D$9,0),MAX('詳細設定'!$D$11,0)))</x:f>
        <x:v>8.3</x:v>
      </x:c>
      <x:c r="O712" s="190" t="n">
        <x:f>K712*M712</x:f>
        <x:v>9200.555065822518</x:v>
      </x:c>
      <x:c r="P712" s="190" t="n">
        <x:f>L712*N712</x:f>
        <x:v>2229.4078428679295</x:v>
      </x:c>
      <x:c r="Q712" s="190" t="n">
        <x:f>O712+P712</x:f>
        <x:v>11429.962908690448</x:v>
      </x:c>
      <x:c r="R712" s="196" t="n">
        <x:f>J712-K712-L712</x:f>
        <x:v>0</x:v>
      </x:c>
    </x:row>
    <x:row r="713">
      <x:c r="A713" s="20" t="str">
        <x:v>上振れ</x:v>
      </x:c>
      <x:c r="B713" s="20" t="n">
        <x:v>20</x:v>
      </x:c>
      <x:c r="C713" s="20" t="n">
        <x:v>1</x:v>
      </x:c>
      <x:c r="D713" s="189" t="n">
        <x:v>1.1</x:v>
      </x:c>
      <x:c r="E713" s="189" t="n">
        <x:v>0.9</x:v>
      </x:c>
      <x:c r="F713" s="189" t="n">
        <x:f>MAX(MIN('詳細設定'!$D$15+0.05,1),0)</x:f>
        <x:v>0.45</x:v>
      </x:c>
      <x:c r="G713" s="563" t="n">
        <x:f>'_計算月次'!$J$5</x:f>
        <x:v>502.4147595742038</x:v>
      </x:c>
      <x:c r="H713" s="563" t="n">
        <x:f>'_計算月次'!$K$5</x:f>
        <x:v>450</x:v>
      </x:c>
      <x:c r="I713" s="563" t="n">
        <x:f>(1-MAX(MIN('詳細設定'!$D$16,0.999999),0))^(B713-1)</x:f>
        <x:v>1</x:v>
      </x:c>
      <x:c r="J713" s="563" t="n">
        <x:f>MAX(G713*D713*I713,0)</x:f>
        <x:v>552.6562355316242</x:v>
      </x:c>
      <x:c r="K713" s="563" t="n">
        <x:f>MAX(MIN(J713*F713,H713),0)</x:f>
        <x:v>248.69530598923092</x:v>
      </x:c>
      <x:c r="L713" s="563" t="n">
        <x:f>MAX(J713-K713,0)</x:f>
        <x:v>303.96092954239333</x:v>
      </x:c>
      <x:c r="M713" s="185" t="n">
        <x:f>MAX('詳細設定'!$D$6,0)*(1+'詳細設定'!$D$21)^(B713-1)</x:f>
        <x:v>42.283813265523605</x:v>
      </x:c>
      <x:c r="N713" s="185" t="n">
        <x:f>IF(B713&lt;=MAX(MIN('詳細設定'!$D$8,20),0),MAX('詳細設定'!$D$7,0),IF(B713&lt;=MAX(MIN('詳細設定'!$D$10,20),0),MAX('詳細設定'!$D$9,0),MAX('詳細設定'!$D$11,0)))</x:f>
        <x:v>8.3</x:v>
      </x:c>
      <x:c r="O713" s="190" t="n">
        <x:f>K713*M713</x:f>
        <x:v>10515.785878460894</x:v>
      </x:c>
      <x:c r="P713" s="190" t="n">
        <x:f>L713*N713</x:f>
        <x:v>2522.8757152018648</x:v>
      </x:c>
      <x:c r="Q713" s="190" t="n">
        <x:f>O713+P713</x:f>
        <x:v>13038.661593662759</x:v>
      </x:c>
      <x:c r="R713" s="196" t="n">
        <x:f>J713-K713-L713</x:f>
        <x:v>0</x:v>
      </x:c>
    </x:row>
    <x:row r="714">
      <x:c r="A714" s="20" t="str">
        <x:v>上振れ</x:v>
      </x:c>
      <x:c r="B714" s="20" t="n">
        <x:v>20</x:v>
      </x:c>
      <x:c r="C714" s="20" t="n">
        <x:v>2</x:v>
      </x:c>
      <x:c r="D714" s="189" t="n">
        <x:v>1.1</x:v>
      </x:c>
      <x:c r="E714" s="189" t="n">
        <x:v>0.9</x:v>
      </x:c>
      <x:c r="F714" s="189" t="n">
        <x:f>MAX(MIN('詳細設定'!$D$15+0.05,1),0)</x:f>
        <x:v>0.45</x:v>
      </x:c>
      <x:c r="G714" s="563" t="n">
        <x:f>'_計算月次'!$J$6</x:f>
        <x:v>472.4508339500229</x:v>
      </x:c>
      <x:c r="H714" s="563" t="n">
        <x:f>'_計算月次'!$K$6</x:f>
        <x:v>405</x:v>
      </x:c>
      <x:c r="I714" s="563" t="n">
        <x:f>(1-MAX(MIN('詳細設定'!$D$16,0.999999),0))^(B714-1)</x:f>
        <x:v>1</x:v>
      </x:c>
      <x:c r="J714" s="563" t="n">
        <x:f>MAX(G714*D714*I714,0)</x:f>
        <x:v>519.6959173450252</x:v>
      </x:c>
      <x:c r="K714" s="563" t="n">
        <x:f>MAX(MIN(J714*F714,H714),0)</x:f>
        <x:v>233.86316280526137</x:v>
      </x:c>
      <x:c r="L714" s="563" t="n">
        <x:f>MAX(J714-K714,0)</x:f>
        <x:v>285.83275453976387</x:v>
      </x:c>
      <x:c r="M714" s="185" t="n">
        <x:f>MAX('詳細設定'!$D$6,0)*(1+'詳細設定'!$D$21)^(B714-1)</x:f>
        <x:v>42.283813265523605</x:v>
      </x:c>
      <x:c r="N714" s="185" t="n">
        <x:f>IF(B714&lt;=MAX(MIN('詳細設定'!$D$8,20),0),MAX('詳細設定'!$D$7,0),IF(B714&lt;=MAX(MIN('詳細設定'!$D$10,20),0),MAX('詳細設定'!$D$9,0),MAX('詳細設定'!$D$11,0)))</x:f>
        <x:v>8.3</x:v>
      </x:c>
      <x:c r="O714" s="190" t="n">
        <x:f>K714*M714</x:f>
        <x:v>9888.626305742417</x:v>
      </x:c>
      <x:c r="P714" s="190" t="n">
        <x:f>L714*N714</x:f>
        <x:v>2372.4118626800405</x:v>
      </x:c>
      <x:c r="Q714" s="190" t="n">
        <x:f>O714+P714</x:f>
        <x:v>12261.038168422458</x:v>
      </x:c>
      <x:c r="R714" s="196" t="n">
        <x:f>J714-K714-L714</x:f>
        <x:v>0</x:v>
      </x:c>
    </x:row>
    <x:row r="715">
      <x:c r="A715" s="20" t="str">
        <x:v>上振れ</x:v>
      </x:c>
      <x:c r="B715" s="20" t="n">
        <x:v>20</x:v>
      </x:c>
      <x:c r="C715" s="20" t="n">
        <x:v>3</x:v>
      </x:c>
      <x:c r="D715" s="189" t="n">
        <x:v>1.1</x:v>
      </x:c>
      <x:c r="E715" s="189" t="n">
        <x:v>0.9</x:v>
      </x:c>
      <x:c r="F715" s="189" t="n">
        <x:f>MAX(MIN('詳細設定'!$D$15+0.05,1),0)</x:f>
        <x:v>0.45</x:v>
      </x:c>
      <x:c r="G715" s="563" t="n">
        <x:f>'_計算月次'!$J$7</x:f>
        <x:v>548.3418864753118</x:v>
      </x:c>
      <x:c r="H715" s="563" t="n">
        <x:f>'_計算月次'!$K$7</x:f>
        <x:v>360</x:v>
      </x:c>
      <x:c r="I715" s="563" t="n">
        <x:f>(1-MAX(MIN('詳細設定'!$D$16,0.999999),0))^(B715-1)</x:f>
        <x:v>1</x:v>
      </x:c>
      <x:c r="J715" s="563" t="n">
        <x:f>MAX(G715*D715*I715,0)</x:f>
        <x:v>603.176075122843</x:v>
      </x:c>
      <x:c r="K715" s="563" t="n">
        <x:f>MAX(MIN(J715*F715,H715),0)</x:f>
        <x:v>271.42923380527935</x:v>
      </x:c>
      <x:c r="L715" s="563" t="n">
        <x:f>MAX(J715-K715,0)</x:f>
        <x:v>331.7468413175637</x:v>
      </x:c>
      <x:c r="M715" s="185" t="n">
        <x:f>MAX('詳細設定'!$D$6,0)*(1+'詳細設定'!$D$21)^(B715-1)</x:f>
        <x:v>42.283813265523605</x:v>
      </x:c>
      <x:c r="N715" s="185" t="n">
        <x:f>IF(B715&lt;=MAX(MIN('詳細設定'!$D$8,20),0),MAX('詳細設定'!$D$7,0),IF(B715&lt;=MAX(MIN('詳細設定'!$D$10,20),0),MAX('詳細設定'!$D$9,0),MAX('詳細設定'!$D$11,0)))</x:f>
        <x:v>8.3</x:v>
      </x:c>
      <x:c r="O715" s="190" t="n">
        <x:f>K715*M715</x:f>
        <x:v>11477.063037026579</x:v>
      </x:c>
      <x:c r="P715" s="190" t="n">
        <x:f>L715*N715</x:f>
        <x:v>2753.4987829357788</x:v>
      </x:c>
      <x:c r="Q715" s="190" t="n">
        <x:f>O715+P715</x:f>
        <x:v>14230.561819962357</x:v>
      </x:c>
      <x:c r="R715" s="196" t="n">
        <x:f>J715-K715-L715</x:f>
        <x:v>0</x:v>
      </x:c>
    </x:row>
    <x:row r="716">
      <x:c r="A716" s="20" t="str">
        <x:v>上振れ</x:v>
      </x:c>
      <x:c r="B716" s="20" t="n">
        <x:v>20</x:v>
      </x:c>
      <x:c r="C716" s="20" t="n">
        <x:v>4</x:v>
      </x:c>
      <x:c r="D716" s="189" t="n">
        <x:v>1.1</x:v>
      </x:c>
      <x:c r="E716" s="189" t="n">
        <x:v>0.9</x:v>
      </x:c>
      <x:c r="F716" s="189" t="n">
        <x:f>MAX(MIN('詳細設定'!$D$15+0.05,1),0)</x:f>
        <x:v>0.45</x:v>
      </x:c>
      <x:c r="G716" s="563" t="n">
        <x:f>'_計算月次'!$J$8</x:f>
        <x:v>548.3944393749554</x:v>
      </x:c>
      <x:c r="H716" s="563" t="n">
        <x:f>'_計算月次'!$K$8</x:f>
        <x:v>315.00000000000006</x:v>
      </x:c>
      <x:c r="I716" s="563" t="n">
        <x:f>(1-MAX(MIN('詳細設定'!$D$16,0.999999),0))^(B716-1)</x:f>
        <x:v>1</x:v>
      </x:c>
      <x:c r="J716" s="563" t="n">
        <x:f>MAX(G716*D716*I716,0)</x:f>
        <x:v>603.233883312451</x:v>
      </x:c>
      <x:c r="K716" s="563" t="n">
        <x:f>MAX(MIN(J716*F716,H716),0)</x:f>
        <x:v>271.45524749060297</x:v>
      </x:c>
      <x:c r="L716" s="563" t="n">
        <x:f>MAX(J716-K716,0)</x:f>
        <x:v>331.778635821848</x:v>
      </x:c>
      <x:c r="M716" s="185" t="n">
        <x:f>MAX('詳細設定'!$D$6,0)*(1+'詳細設定'!$D$21)^(B716-1)</x:f>
        <x:v>42.283813265523605</x:v>
      </x:c>
      <x:c r="N716" s="185" t="n">
        <x:f>IF(B716&lt;=MAX(MIN('詳細設定'!$D$8,20),0),MAX('詳細設定'!$D$7,0),IF(B716&lt;=MAX(MIN('詳細設定'!$D$10,20),0),MAX('詳細設定'!$D$9,0),MAX('詳細設定'!$D$11,0)))</x:f>
        <x:v>8.3</x:v>
      </x:c>
      <x:c r="O716" s="190" t="n">
        <x:f>K716*M716</x:f>
        <x:v>11478.162994839151</x:v>
      </x:c>
      <x:c r="P716" s="190" t="n">
        <x:f>L716*N716</x:f>
        <x:v>2753.7626773213387</x:v>
      </x:c>
      <x:c r="Q716" s="190" t="n">
        <x:f>O716+P716</x:f>
        <x:v>14231.92567216049</x:v>
      </x:c>
      <x:c r="R716" s="196" t="n">
        <x:f>J716-K716-L716</x:f>
        <x:v>0</x:v>
      </x:c>
    </x:row>
    <x:row r="717">
      <x:c r="A717" s="20" t="str">
        <x:v>上振れ</x:v>
      </x:c>
      <x:c r="B717" s="20" t="n">
        <x:v>20</x:v>
      </x:c>
      <x:c r="C717" s="20" t="n">
        <x:v>5</x:v>
      </x:c>
      <x:c r="D717" s="189" t="n">
        <x:v>1.1</x:v>
      </x:c>
      <x:c r="E717" s="189" t="n">
        <x:v>0.9</x:v>
      </x:c>
      <x:c r="F717" s="189" t="n">
        <x:f>MAX(MIN('詳細設定'!$D$15+0.05,1),0)</x:f>
        <x:v>0.45</x:v>
      </x:c>
      <x:c r="G717" s="563" t="n">
        <x:f>'_計算月次'!$J$9</x:f>
        <x:v>552.2367574934775</x:v>
      </x:c>
      <x:c r="H717" s="563" t="n">
        <x:f>'_計算月次'!$K$9</x:f>
        <x:v>315.00000000000006</x:v>
      </x:c>
      <x:c r="I717" s="563" t="n">
        <x:f>(1-MAX(MIN('詳細設定'!$D$16,0.999999),0))^(B717-1)</x:f>
        <x:v>1</x:v>
      </x:c>
      <x:c r="J717" s="563" t="n">
        <x:f>MAX(G717*D717*I717,0)</x:f>
        <x:v>607.4604332428253</x:v>
      </x:c>
      <x:c r="K717" s="563" t="n">
        <x:f>MAX(MIN(J717*F717,H717),0)</x:f>
        <x:v>273.3571949592714</x:v>
      </x:c>
      <x:c r="L717" s="563" t="n">
        <x:f>MAX(J717-K717,0)</x:f>
        <x:v>334.1032382835539</x:v>
      </x:c>
      <x:c r="M717" s="185" t="n">
        <x:f>MAX('詳細設定'!$D$6,0)*(1+'詳細設定'!$D$21)^(B717-1)</x:f>
        <x:v>42.283813265523605</x:v>
      </x:c>
      <x:c r="N717" s="185" t="n">
        <x:f>IF(B717&lt;=MAX(MIN('詳細設定'!$D$8,20),0),MAX('詳細設定'!$D$7,0),IF(B717&lt;=MAX(MIN('詳細設定'!$D$10,20),0),MAX('詳細設定'!$D$9,0),MAX('詳細設定'!$D$11,0)))</x:f>
        <x:v>8.3</x:v>
      </x:c>
      <x:c r="O717" s="190" t="n">
        <x:f>K717*M717</x:f>
        <x:v>11558.584586445162</x:v>
      </x:c>
      <x:c r="P717" s="190" t="n">
        <x:f>L717*N717</x:f>
        <x:v>2773.0568777534972</x:v>
      </x:c>
      <x:c r="Q717" s="190" t="n">
        <x:f>O717+P717</x:f>
        <x:v>14331.64146419866</x:v>
      </x:c>
      <x:c r="R717" s="196" t="n">
        <x:f>J717-K717-L717</x:f>
        <x:v>0</x:v>
      </x:c>
    </x:row>
    <x:row r="718">
      <x:c r="A718" s="20" t="str">
        <x:v>上振れ</x:v>
      </x:c>
      <x:c r="B718" s="20" t="n">
        <x:v>20</x:v>
      </x:c>
      <x:c r="C718" s="20" t="n">
        <x:v>6</x:v>
      </x:c>
      <x:c r="D718" s="189" t="n">
        <x:v>1.1</x:v>
      </x:c>
      <x:c r="E718" s="189" t="n">
        <x:v>0.9</x:v>
      </x:c>
      <x:c r="F718" s="189" t="n">
        <x:f>MAX(MIN('詳細設定'!$D$15+0.05,1),0)</x:f>
        <x:v>0.45</x:v>
      </x:c>
      <x:c r="G718" s="563" t="n">
        <x:f>'_計算月次'!$J$10</x:f>
        <x:v>448.7994857612148</x:v>
      </x:c>
      <x:c r="H718" s="563" t="n">
        <x:f>'_計算月次'!$K$10</x:f>
        <x:v>360</x:v>
      </x:c>
      <x:c r="I718" s="563" t="n">
        <x:f>(1-MAX(MIN('詳細設定'!$D$16,0.999999),0))^(B718-1)</x:f>
        <x:v>1</x:v>
      </x:c>
      <x:c r="J718" s="563" t="n">
        <x:f>MAX(G718*D718*I718,0)</x:f>
        <x:v>493.6794343373363</x:v>
      </x:c>
      <x:c r="K718" s="563" t="n">
        <x:f>MAX(MIN(J718*F718,H718),0)</x:f>
        <x:v>222.15574545180135</x:v>
      </x:c>
      <x:c r="L718" s="563" t="n">
        <x:f>MAX(J718-K718,0)</x:f>
        <x:v>271.52368888553497</x:v>
      </x:c>
      <x:c r="M718" s="185" t="n">
        <x:f>MAX('詳細設定'!$D$6,0)*(1+'詳細設定'!$D$21)^(B718-1)</x:f>
        <x:v>42.283813265523605</x:v>
      </x:c>
      <x:c r="N718" s="185" t="n">
        <x:f>IF(B718&lt;=MAX(MIN('詳細設定'!$D$8,20),0),MAX('詳細設定'!$D$7,0),IF(B718&lt;=MAX(MIN('詳細設定'!$D$10,20),0),MAX('詳細設定'!$D$9,0),MAX('詳細設定'!$D$11,0)))</x:f>
        <x:v>8.3</x:v>
      </x:c>
      <x:c r="O718" s="190" t="n">
        <x:f>K718*M718</x:f>
        <x:v>9393.592056547162</x:v>
      </x:c>
      <x:c r="P718" s="190" t="n">
        <x:f>L718*N718</x:f>
        <x:v>2253.6466177499406</x:v>
      </x:c>
      <x:c r="Q718" s="190" t="n">
        <x:f>O718+P718</x:f>
        <x:v>11647.238674297103</x:v>
      </x:c>
      <x:c r="R718" s="196" t="n">
        <x:f>J718-K718-L718</x:f>
        <x:v>0</x:v>
      </x:c>
    </x:row>
    <x:row r="719">
      <x:c r="A719" s="20" t="str">
        <x:v>上振れ</x:v>
      </x:c>
      <x:c r="B719" s="20" t="n">
        <x:v>20</x:v>
      </x:c>
      <x:c r="C719" s="20" t="n">
        <x:v>7</x:v>
      </x:c>
      <x:c r="D719" s="189" t="n">
        <x:v>1.1</x:v>
      </x:c>
      <x:c r="E719" s="189" t="n">
        <x:v>0.9</x:v>
      </x:c>
      <x:c r="F719" s="189" t="n">
        <x:f>MAX(MIN('詳細設定'!$D$15+0.05,1),0)</x:f>
        <x:v>0.45</x:v>
      </x:c>
      <x:c r="G719" s="563" t="n">
        <x:f>'_計算月次'!$J$11</x:f>
        <x:v>476.0181638067866</x:v>
      </x:c>
      <x:c r="H719" s="563" t="n">
        <x:f>'_計算月次'!$K$11</x:f>
        <x:v>405</x:v>
      </x:c>
      <x:c r="I719" s="563" t="n">
        <x:f>(1-MAX(MIN('詳細設定'!$D$16,0.999999),0))^(B719-1)</x:f>
        <x:v>1</x:v>
      </x:c>
      <x:c r="J719" s="563" t="n">
        <x:f>MAX(G719*D719*I719,0)</x:f>
        <x:v>523.6199801874653</x:v>
      </x:c>
      <x:c r="K719" s="563" t="n">
        <x:f>MAX(MIN(J719*F719,H719),0)</x:f>
        <x:v>235.6289910843594</x:v>
      </x:c>
      <x:c r="L719" s="563" t="n">
        <x:f>MAX(J719-K719,0)</x:f>
        <x:v>287.9909891031059</x:v>
      </x:c>
      <x:c r="M719" s="185" t="n">
        <x:f>MAX('詳細設定'!$D$6,0)*(1+'詳細設定'!$D$21)^(B719-1)</x:f>
        <x:v>42.283813265523605</x:v>
      </x:c>
      <x:c r="N719" s="185" t="n">
        <x:f>IF(B719&lt;=MAX(MIN('詳細設定'!$D$8,20),0),MAX('詳細設定'!$D$7,0),IF(B719&lt;=MAX(MIN('詳細設定'!$D$10,20),0),MAX('詳細設定'!$D$9,0),MAX('詳細設定'!$D$11,0)))</x:f>
        <x:v>8.3</x:v>
      </x:c>
      <x:c r="O719" s="190" t="n">
        <x:f>K719*M719</x:f>
        <x:v>9963.29225895478</x:v>
      </x:c>
      <x:c r="P719" s="190" t="n">
        <x:f>L719*N719</x:f>
        <x:v>2390.325209555779</x:v>
      </x:c>
      <x:c r="Q719" s="190" t="n">
        <x:f>O719+P719</x:f>
        <x:v>12353.617468510558</x:v>
      </x:c>
      <x:c r="R719" s="196" t="n">
        <x:f>J719-K719-L719</x:f>
        <x:v>0</x:v>
      </x:c>
    </x:row>
    <x:row r="720">
      <x:c r="A720" s="20" t="str">
        <x:v>上振れ</x:v>
      </x:c>
      <x:c r="B720" s="20" t="n">
        <x:v>20</x:v>
      </x:c>
      <x:c r="C720" s="20" t="n">
        <x:v>8</x:v>
      </x:c>
      <x:c r="D720" s="189" t="n">
        <x:v>1.1</x:v>
      </x:c>
      <x:c r="E720" s="189" t="n">
        <x:v>0.9</x:v>
      </x:c>
      <x:c r="F720" s="189" t="n">
        <x:f>MAX(MIN('詳細設定'!$D$15+0.05,1),0)</x:f>
        <x:v>0.45</x:v>
      </x:c>
      <x:c r="G720" s="563" t="n">
        <x:f>'_計算月次'!$J$12</x:f>
        <x:v>528.6548067323699</x:v>
      </x:c>
      <x:c r="H720" s="563" t="n">
        <x:f>'_計算月次'!$K$12</x:f>
        <x:v>450</x:v>
      </x:c>
      <x:c r="I720" s="563" t="n">
        <x:f>(1-MAX(MIN('詳細設定'!$D$16,0.999999),0))^(B720-1)</x:f>
        <x:v>1</x:v>
      </x:c>
      <x:c r="J720" s="563" t="n">
        <x:f>MAX(G720*D720*I720,0)</x:f>
        <x:v>581.520287405607</x:v>
      </x:c>
      <x:c r="K720" s="563" t="n">
        <x:f>MAX(MIN(J720*F720,H720),0)</x:f>
        <x:v>261.6841293325231</x:v>
      </x:c>
      <x:c r="L720" s="563" t="n">
        <x:f>MAX(J720-K720,0)</x:f>
        <x:v>319.8361580730838</x:v>
      </x:c>
      <x:c r="M720" s="185" t="n">
        <x:f>MAX('詳細設定'!$D$6,0)*(1+'詳細設定'!$D$21)^(B720-1)</x:f>
        <x:v>42.283813265523605</x:v>
      </x:c>
      <x:c r="N720" s="185" t="n">
        <x:f>IF(B720&lt;=MAX(MIN('詳細設定'!$D$8,20),0),MAX('詳細設定'!$D$7,0),IF(B720&lt;=MAX(MIN('詳細設定'!$D$10,20),0),MAX('詳細設定'!$D$9,0),MAX('詳細設定'!$D$11,0)))</x:f>
        <x:v>8.3</x:v>
      </x:c>
      <x:c r="O720" s="190" t="n">
        <x:f>K720*M720</x:f>
        <x:v>11065.002859247536</x:v>
      </x:c>
      <x:c r="P720" s="190" t="n">
        <x:f>L720*N720</x:f>
        <x:v>2654.640112006596</x:v>
      </x:c>
      <x:c r="Q720" s="190" t="n">
        <x:f>O720+P720</x:f>
        <x:v>13719.642971254132</x:v>
      </x:c>
      <x:c r="R720" s="196" t="n">
        <x:f>J720-K720-L720</x:f>
        <x:v>0</x:v>
      </x:c>
    </x:row>
    <x:row r="721">
      <x:c r="A721" s="20" t="str">
        <x:v>上振れ</x:v>
      </x:c>
      <x:c r="B721" s="20" t="n">
        <x:v>20</x:v>
      </x:c>
      <x:c r="C721" s="20" t="n">
        <x:v>9</x:v>
      </x:c>
      <x:c r="D721" s="189" t="n">
        <x:v>1.1</x:v>
      </x:c>
      <x:c r="E721" s="189" t="n">
        <x:v>0.9</x:v>
      </x:c>
      <x:c r="F721" s="189" t="n">
        <x:f>MAX(MIN('詳細設定'!$D$15+0.05,1),0)</x:f>
        <x:v>0.45</x:v>
      </x:c>
      <x:c r="G721" s="563" t="n">
        <x:f>'_計算月次'!$J$13</x:f>
        <x:v>436.37734765103465</x:v>
      </x:c>
      <x:c r="H721" s="563" t="n">
        <x:f>'_計算月次'!$K$13</x:f>
        <x:v>360</x:v>
      </x:c>
      <x:c r="I721" s="563" t="n">
        <x:f>(1-MAX(MIN('詳細設定'!$D$16,0.999999),0))^(B721-1)</x:f>
        <x:v>1</x:v>
      </x:c>
      <x:c r="J721" s="563" t="n">
        <x:f>MAX(G721*D721*I721,0)</x:f>
        <x:v>480.01508241613817</x:v>
      </x:c>
      <x:c r="K721" s="563" t="n">
        <x:f>MAX(MIN(J721*F721,H721),0)</x:f>
        <x:v>216.00678708726218</x:v>
      </x:c>
      <x:c r="L721" s="563" t="n">
        <x:f>MAX(J721-K721,0)</x:f>
        <x:v>264.008295328876</x:v>
      </x:c>
      <x:c r="M721" s="185" t="n">
        <x:f>MAX('詳細設定'!$D$6,0)*(1+'詳細設定'!$D$21)^(B721-1)</x:f>
        <x:v>42.283813265523605</x:v>
      </x:c>
      <x:c r="N721" s="185" t="n">
        <x:f>IF(B721&lt;=MAX(MIN('詳細設定'!$D$8,20),0),MAX('詳細設定'!$D$7,0),IF(B721&lt;=MAX(MIN('詳細設定'!$D$10,20),0),MAX('詳細設定'!$D$9,0),MAX('詳細設定'!$D$11,0)))</x:f>
        <x:v>8.3</x:v>
      </x:c>
      <x:c r="O721" s="190" t="n">
        <x:f>K721*M721</x:f>
        <x:v>9133.59064928351</x:v>
      </x:c>
      <x:c r="P721" s="190" t="n">
        <x:f>L721*N721</x:f>
        <x:v>2191.268851229671</x:v>
      </x:c>
      <x:c r="Q721" s="190" t="n">
        <x:f>O721+P721</x:f>
        <x:v>11324.85950051318</x:v>
      </x:c>
      <x:c r="R721" s="196" t="n">
        <x:f>J721-K721-L721</x:f>
        <x:v>0</x:v>
      </x:c>
    </x:row>
    <x:row r="722">
      <x:c r="A722" s="20" t="str">
        <x:v>上振れ</x:v>
      </x:c>
      <x:c r="B722" s="20" t="n">
        <x:v>20</x:v>
      </x:c>
      <x:c r="C722" s="20" t="n">
        <x:v>10</x:v>
      </x:c>
      <x:c r="D722" s="189" t="n">
        <x:v>1.1</x:v>
      </x:c>
      <x:c r="E722" s="189" t="n">
        <x:v>0.9</x:v>
      </x:c>
      <x:c r="F722" s="189" t="n">
        <x:f>MAX(MIN('詳細設定'!$D$15+0.05,1),0)</x:f>
        <x:v>0.45</x:v>
      </x:c>
      <x:c r="G722" s="563" t="n">
        <x:f>'_計算月次'!$J$14</x:f>
        <x:v>408.8269849869007</x:v>
      </x:c>
      <x:c r="H722" s="563" t="n">
        <x:f>'_計算月次'!$K$14</x:f>
        <x:v>315.00000000000006</x:v>
      </x:c>
      <x:c r="I722" s="563" t="n">
        <x:f>(1-MAX(MIN('詳細設定'!$D$16,0.999999),0))^(B722-1)</x:f>
        <x:v>1</x:v>
      </x:c>
      <x:c r="J722" s="563" t="n">
        <x:f>MAX(G722*D722*I722,0)</x:f>
        <x:v>449.7096834855908</x:v>
      </x:c>
      <x:c r="K722" s="563" t="n">
        <x:f>MAX(MIN(J722*F722,H722),0)</x:f>
        <x:v>202.36935756851585</x:v>
      </x:c>
      <x:c r="L722" s="563" t="n">
        <x:f>MAX(J722-K722,0)</x:f>
        <x:v>247.34032591707495</x:v>
      </x:c>
      <x:c r="M722" s="185" t="n">
        <x:f>MAX('詳細設定'!$D$6,0)*(1+'詳細設定'!$D$21)^(B722-1)</x:f>
        <x:v>42.283813265523605</x:v>
      </x:c>
      <x:c r="N722" s="185" t="n">
        <x:f>IF(B722&lt;=MAX(MIN('詳細設定'!$D$8,20),0),MAX('詳細設定'!$D$7,0),IF(B722&lt;=MAX(MIN('詳細設定'!$D$10,20),0),MAX('詳細設定'!$D$9,0),MAX('詳細設定'!$D$11,0)))</x:f>
        <x:v>8.3</x:v>
      </x:c>
      <x:c r="O722" s="190" t="n">
        <x:f>K722*M722</x:f>
        <x:v>8556.9481260911</x:v>
      </x:c>
      <x:c r="P722" s="190" t="n">
        <x:f>L722*N722</x:f>
        <x:v>2052.9247051117222</x:v>
      </x:c>
      <x:c r="Q722" s="190" t="n">
        <x:f>O722+P722</x:f>
        <x:v>10609.872831202822</x:v>
      </x:c>
      <x:c r="R722" s="196" t="n">
        <x:f>J722-K722-L722</x:f>
        <x:v>0</x:v>
      </x:c>
    </x:row>
    <x:row r="723">
      <x:c r="A723" s="20" t="str">
        <x:v>上振れ</x:v>
      </x:c>
      <x:c r="B723" s="20" t="n">
        <x:v>20</x:v>
      </x:c>
      <x:c r="C723" s="20" t="n">
        <x:v>11</x:v>
      </x:c>
      <x:c r="D723" s="189" t="n">
        <x:v>1.1</x:v>
      </x:c>
      <x:c r="E723" s="189" t="n">
        <x:v>0.9</x:v>
      </x:c>
      <x:c r="F723" s="189" t="n">
        <x:f>MAX(MIN('詳細設定'!$D$15+0.05,1),0)</x:f>
        <x:v>0.45</x:v>
      </x:c>
      <x:c r="G723" s="563" t="n">
        <x:f>'_計算月次'!$J$15</x:f>
        <x:v>398.45169764745054</x:v>
      </x:c>
      <x:c r="H723" s="563" t="n">
        <x:f>'_計算月次'!$K$15</x:f>
        <x:v>360</x:v>
      </x:c>
      <x:c r="I723" s="563" t="n">
        <x:f>(1-MAX(MIN('詳細設定'!$D$16,0.999999),0))^(B723-1)</x:f>
        <x:v>1</x:v>
      </x:c>
      <x:c r="J723" s="563" t="n">
        <x:f>MAX(G723*D723*I723,0)</x:f>
        <x:v>438.29686741219564</x:v>
      </x:c>
      <x:c r="K723" s="563" t="n">
        <x:f>MAX(MIN(J723*F723,H723),0)</x:f>
        <x:v>197.23359033548803</x:v>
      </x:c>
      <x:c r="L723" s="563" t="n">
        <x:f>MAX(J723-K723,0)</x:f>
        <x:v>241.0632770767076</x:v>
      </x:c>
      <x:c r="M723" s="185" t="n">
        <x:f>MAX('詳細設定'!$D$6,0)*(1+'詳細設定'!$D$21)^(B723-1)</x:f>
        <x:v>42.283813265523605</x:v>
      </x:c>
      <x:c r="N723" s="185" t="n">
        <x:f>IF(B723&lt;=MAX(MIN('詳細設定'!$D$8,20),0),MAX('詳細設定'!$D$7,0),IF(B723&lt;=MAX(MIN('詳細設定'!$D$10,20),0),MAX('詳細設定'!$D$9,0),MAX('詳細設定'!$D$11,0)))</x:f>
        <x:v>8.3</x:v>
      </x:c>
      <x:c r="O723" s="190" t="n">
        <x:f>K723*M723</x:f>
        <x:v>8339.788303434558</x:v>
      </x:c>
      <x:c r="P723" s="190" t="n">
        <x:f>L723*N723</x:f>
        <x:v>2000.8251997366733</x:v>
      </x:c>
      <x:c r="Q723" s="190" t="n">
        <x:f>O723+P723</x:f>
        <x:v>10340.613503171231</x:v>
      </x:c>
      <x:c r="R723" s="196" t="n">
        <x:f>J723-K723-L723</x:f>
        <x:v>0</x:v>
      </x:c>
    </x:row>
    <x:row r="724">
      <x:c r="A724" s="20" t="str">
        <x:v>上振れ</x:v>
      </x:c>
      <x:c r="B724" s="20" t="n">
        <x:v>20</x:v>
      </x:c>
      <x:c r="C724" s="20" t="n">
        <x:v>12</x:v>
      </x:c>
      <x:c r="D724" s="189" t="n">
        <x:v>1.1</x:v>
      </x:c>
      <x:c r="E724" s="189" t="n">
        <x:v>0.9</x:v>
      </x:c>
      <x:c r="F724" s="189" t="n">
        <x:f>MAX(MIN('詳細設定'!$D$15+0.05,1),0)</x:f>
        <x:v>0.45</x:v>
      </x:c>
      <x:c r="G724" s="563" t="n">
        <x:f>'_計算月次'!$J$16</x:f>
        <x:v>443.97248688000184</x:v>
      </x:c>
      <x:c r="H724" s="563" t="n">
        <x:f>'_計算月次'!$K$16</x:f>
        <x:v>405</x:v>
      </x:c>
      <x:c r="I724" s="563" t="n">
        <x:f>(1-MAX(MIN('詳細設定'!$D$16,0.999999),0))^(B724-1)</x:f>
        <x:v>1</x:v>
      </x:c>
      <x:c r="J724" s="563" t="n">
        <x:f>MAX(G724*D724*I724,0)</x:f>
        <x:v>488.36973556800206</x:v>
      </x:c>
      <x:c r="K724" s="563" t="n">
        <x:f>MAX(MIN(J724*F724,H724),0)</x:f>
        <x:v>219.76638100560092</x:v>
      </x:c>
      <x:c r="L724" s="563" t="n">
        <x:f>MAX(J724-K724,0)</x:f>
        <x:v>268.60335456240114</x:v>
      </x:c>
      <x:c r="M724" s="185" t="n">
        <x:f>MAX('詳細設定'!$D$6,0)*(1+'詳細設定'!$D$21)^(B724-1)</x:f>
        <x:v>42.283813265523605</x:v>
      </x:c>
      <x:c r="N724" s="185" t="n">
        <x:f>IF(B724&lt;=MAX(MIN('詳細設定'!$D$8,20),0),MAX('詳細設定'!$D$7,0),IF(B724&lt;=MAX(MIN('詳細設定'!$D$10,20),0),MAX('詳細設定'!$D$9,0),MAX('詳細設定'!$D$11,0)))</x:f>
        <x:v>8.3</x:v>
      </x:c>
      <x:c r="O724" s="190" t="n">
        <x:f>K724*M724</x:f>
        <x:v>9292.560616480743</x:v>
      </x:c>
      <x:c r="P724" s="190" t="n">
        <x:f>L724*N724</x:f>
        <x:v>2229.4078428679295</x:v>
      </x:c>
      <x:c r="Q724" s="190" t="n">
        <x:f>O724+P724</x:f>
        <x:v>11521.968459348673</x:v>
      </x:c>
      <x:c r="R724" s="196" t="n">
        <x:f>J724-K724-L724</x:f>
        <x:v>0</x:v>
      </x:c>
    </x:row>
    <x:row r="725">
      <x:c r="A725" s="527"/>
      <x:c r="B725" s="527"/>
      <x:c r="C725" s="527"/>
      <x:c r="D725" s="527"/>
      <x:c r="E725" s="527"/>
      <x:c r="F725" s="527"/>
      <x:c r="G725" s="527"/>
      <x:c r="H725" s="527"/>
      <x:c r="I725" s="527"/>
      <x:c r="J725" s="527"/>
      <x:c r="K725" s="527"/>
      <x:c r="L725" s="527"/>
      <x:c r="M725" s="527"/>
      <x:c r="N725" s="527"/>
      <x:c r="O725" s="527"/>
      <x:c r="P725" s="527"/>
      <x:c r="Q725" s="527"/>
      <x:c r="R725" s="527"/>
    </x:row>
    <x:row r="726">
      <x:c r="A726" s="527"/>
      <x:c r="B726" s="527"/>
      <x:c r="C726" s="527"/>
      <x:c r="D726" s="527"/>
      <x:c r="E726" s="527"/>
      <x:c r="F726" s="527"/>
      <x:c r="G726" s="527"/>
      <x:c r="H726" s="527"/>
      <x:c r="I726" s="527"/>
      <x:c r="J726" s="527"/>
      <x:c r="K726" s="527"/>
      <x:c r="L726" s="527"/>
      <x:c r="M726" s="527"/>
      <x:c r="N726" s="527"/>
      <x:c r="O726" s="527"/>
      <x:c r="P726" s="527"/>
      <x:c r="Q726" s="527"/>
      <x:c r="R726" s="527"/>
    </x:row>
  </x:sheetData>
  <x:sheetProtection sheet="1" objects="0" scenarios="1" formatCells="1" formatColumns="1" formatRows="1" insertColumns="1" insertRows="1" insertHyperlinks="1" deleteColumns="1" deleteRows="1" selectLockedCells="0" selectUnlockedCells="0"/>
  <x:mergeCells>
    <x:mergeCell ref="A1:R2"/>
    <x:mergeCell ref="A3:R3"/>
  </x:mergeCells>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17" max="17" width="11"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 min="16" max="16" width="13" hidden="0" customWidth="1"/>
    <x:col min="18" max="18" width="13" hidden="0" customWidth="1"/>
  </x:cols>
  <x:sheetData>
    <x:row r="1">
      <x:c r="A1" s="526" t="str">
        <x:v>内部計算｜3条件・20年感度比較</x:v>
      </x:c>
      <x:c r="B1" s="526"/>
      <x:c r="C1" s="526"/>
      <x:c r="D1" s="526"/>
      <x:c r="E1" s="526"/>
      <x:c r="F1" s="526"/>
      <x:c r="G1" s="526"/>
      <x:c r="H1" s="526"/>
      <x:c r="I1" s="526"/>
      <x:c r="J1" s="526"/>
      <x:c r="K1" s="526"/>
      <x:c r="L1" s="526"/>
      <x:c r="M1" s="526"/>
      <x:c r="N1" s="526"/>
      <x:c r="O1" s="526"/>
      <x:c r="P1" s="526"/>
      <x:c r="Q1" s="526"/>
      <x:c r="R1" s="526"/>
    </x:row>
    <x:row r="2">
      <x:c r="A2" s="526"/>
      <x:c r="B2" s="526"/>
      <x:c r="C2" s="526"/>
      <x:c r="D2" s="526"/>
      <x:c r="E2" s="526"/>
      <x:c r="F2" s="526"/>
      <x:c r="G2" s="526"/>
      <x:c r="H2" s="526"/>
      <x:c r="I2" s="526"/>
      <x:c r="J2" s="526"/>
      <x:c r="K2" s="526"/>
      <x:c r="L2" s="526"/>
      <x:c r="M2" s="526"/>
      <x:c r="N2" s="526"/>
      <x:c r="O2" s="526"/>
      <x:c r="P2" s="526"/>
      <x:c r="Q2" s="526"/>
      <x:c r="R2" s="526"/>
    </x:row>
    <x:row r="3">
      <x:c r="A3" s="8" t="str">
        <x:v>全ケースを月次再計算。±10%・±5ptは確率区間ではなく、任意のストレステストです。</x:v>
      </x:c>
      <x:c r="B3" s="8"/>
      <x:c r="C3" s="8"/>
      <x:c r="D3" s="8"/>
      <x:c r="E3" s="8"/>
      <x:c r="F3" s="8"/>
      <x:c r="G3" s="8"/>
      <x:c r="H3" s="8"/>
      <x:c r="I3" s="8"/>
      <x:c r="J3" s="8"/>
      <x:c r="K3" s="8"/>
      <x:c r="L3" s="8"/>
      <x:c r="M3" s="8"/>
      <x:c r="N3" s="8"/>
      <x:c r="O3" s="8"/>
      <x:c r="P3" s="8"/>
      <x:c r="Q3" s="8"/>
      <x:c r="R3" s="8"/>
    </x:row>
    <x:row r="4">
      <x:c r="A4" s="13" t="str">
        <x:v>ケース</x:v>
      </x:c>
      <x:c r="B4" s="13" t="str">
        <x:v>年</x:v>
      </x:c>
      <x:c r="C4" s="13" t="str">
        <x:v>日射倍率</x:v>
      </x:c>
      <x:c r="D4" s="13" t="str">
        <x:v>設置費倍率</x:v>
      </x:c>
      <x:c r="E4" s="13" t="str">
        <x:v>同時消費上限率</x:v>
      </x:c>
      <x:c r="F4" s="13" t="str">
        <x:v>発電kWh</x:v>
      </x:c>
      <x:c r="G4" s="13" t="str">
        <x:v>自家消費kWh</x:v>
      </x:c>
      <x:c r="H4" s="13" t="str">
        <x:v>売電kWh</x:v>
      </x:c>
      <x:c r="I4" s="13" t="str">
        <x:v>買電単価</x:v>
      </x:c>
      <x:c r="J4" s="13" t="str">
        <x:v>売電単価</x:v>
      </x:c>
      <x:c r="K4" s="13" t="str">
        <x:v>削減円</x:v>
      </x:c>
      <x:c r="L4" s="13" t="str">
        <x:v>売電円</x:v>
      </x:c>
      <x:c r="M4" s="13" t="str">
        <x:v>O&amp;M</x:v>
      </x:c>
      <x:c r="N4" s="13" t="str">
        <x:v>PCS</x:v>
      </x:c>
      <x:c r="O4" s="13" t="str">
        <x:v>年CF</x:v>
      </x:c>
      <x:c r="P4" s="13" t="str">
        <x:v>累積CF</x:v>
      </x:c>
      <x:c r="Q4" s="13" t="str">
        <x:v>恒久回収候補年</x:v>
      </x:c>
      <x:c r="R4" s="13" t="str">
        <x:v>標準差</x:v>
      </x:c>
    </x:row>
    <x:row r="5">
      <x:c r="A5" s="20" t="str">
        <x:v>慎重</x:v>
      </x:c>
      <x:c r="B5" s="20" t="n">
        <x:v>0</x:v>
      </x:c>
      <x:c r="C5" s="188" t="n">
        <x:v>0.9</x:v>
      </x:c>
      <x:c r="D5" s="188" t="n">
        <x:v>1.1</x:v>
      </x:c>
      <x:c r="E5" s="188" t="n">
        <x:f>MAX(MIN('詳細設定'!$D$15+-0.05,1),0)</x:f>
        <x:v>0.35000000000000003</x:v>
      </x:c>
      <x:c r="F5" s="563" t="n">
        <x:v>0</x:v>
      </x:c>
      <x:c r="G5" s="563" t="n">
        <x:v>0</x:v>
      </x:c>
      <x:c r="H5" s="563" t="n">
        <x:v>0</x:v>
      </x:c>
      <x:c r="I5" s="185" t="n">
        <x:v>0</x:v>
      </x:c>
      <x:c r="J5" s="185" t="n">
        <x:v>0</x:v>
      </x:c>
      <x:c r="K5" s="190" t="n">
        <x:v>0</x:v>
      </x:c>
      <x:c r="L5" s="190" t="n">
        <x:v>0</x:v>
      </x:c>
      <x:c r="M5" s="190" t="n">
        <x:v>0</x:v>
      </x:c>
      <x:c r="N5" s="190" t="n">
        <x:v>0</x:v>
      </x:c>
      <x:c r="O5" s="190" t="n">
        <x:f>IF(AND('_設定'!$J$23=1,'3分入力'!$D$8&gt;0),-MAX(MAX('3分入力'!$D$14,0)*D5-MIN(MAX('3分入力'!$D$16,0),MAX('3分入力'!$D$14,0)*D5),0),0)</x:f>
        <x:v>-1650000.0000000002</x:v>
      </x:c>
      <x:c r="P5" s="190" t="n">
        <x:f>O5</x:f>
        <x:v>-1650000.0000000002</x:v>
      </x:c>
      <x:c r="Q5" s="186"/>
      <x:c r="R5" s="196" t="n">
        <x:v>0</x:v>
      </x:c>
    </x:row>
    <x:row r="6">
      <x:c r="A6" s="20" t="str">
        <x:v>慎重</x:v>
      </x:c>
      <x:c r="B6" s="20" t="n">
        <x:v>1</x:v>
      </x:c>
      <x:c r="C6" s="188" t="n">
        <x:v>0.9</x:v>
      </x:c>
      <x:c r="D6" s="188" t="n">
        <x:v>1.1</x:v>
      </x:c>
      <x:c r="E6" s="188" t="n">
        <x:f>MAX(MIN('詳細設定'!$D$15+-0.05,1),0)</x:f>
        <x:v>0.35000000000000003</x:v>
      </x:c>
      <x:c r="F6" s="563" t="n">
        <x:f>SUM('_シナリオ月次'!$J$5:$J$16)</x:f>
        <x:v>5188.4456853003585</x:v>
      </x:c>
      <x:c r="G6" s="563" t="n">
        <x:f>SUM('_シナリオ月次'!$K$5:$K$16)</x:f>
        <x:v>1815.9559898551254</x:v>
      </x:c>
      <x:c r="H6" s="563" t="n">
        <x:f>SUM('_シナリオ月次'!$L$5:$L$16)</x:f>
        <x:v>3372.489695445232</x:v>
      </x:c>
      <x:c r="I6" s="185" t="n">
        <x:f>'_シナリオ月次'!$M$5</x:f>
        <x:v>35</x:v>
      </x:c>
      <x:c r="J6" s="185" t="n">
        <x:f>'_シナリオ月次'!$N$5</x:f>
        <x:v>24</x:v>
      </x:c>
      <x:c r="K6" s="190" t="n">
        <x:f>SUM('_シナリオ月次'!$O$5:$O$16)</x:f>
        <x:v>63558.459644929375</x:v>
      </x:c>
      <x:c r="L6" s="190" t="n">
        <x:f>SUM('_シナリオ月次'!$P$5:$P$16)</x:f>
        <x:v>80939.75269068558</x:v>
      </x:c>
      <x:c r="M6" s="190" t="n">
        <x:f>IF(AND('_設定'!$J$23=1,'3分入力'!$D$8&gt;0),MAX('詳細設定'!$D$17,0),0)</x:f>
        <x:v>0</x:v>
      </x:c>
      <x:c r="N6" s="190" t="n">
        <x:f>IF(AND('_設定'!$J$23=1,'3分入力'!$D$8&gt;0,B6='詳細設定'!$D$18),MAX('詳細設定'!$D$19,0),0)</x:f>
        <x:v>0</x:v>
      </x:c>
      <x:c r="O6" s="190" t="n">
        <x:f>K6+L6-M6-N6</x:f>
        <x:v>144498.21233561495</x:v>
      </x:c>
      <x:c r="P6" s="190" t="n">
        <x:f>P5+O6</x:f>
        <x:v>-1505501.7876643853</x:v>
      </x:c>
      <x:c r="Q6" s="186" t="str">
        <x:f>IF(AND(P6&gt;=0,MIN(P6:$P$25)&gt;=0),B6,"")</x:f>
      </x:c>
      <x:c r="R6" s="196" t="n">
        <x:v>0</x:v>
      </x:c>
    </x:row>
    <x:row r="7">
      <x:c r="A7" s="20" t="str">
        <x:v>慎重</x:v>
      </x:c>
      <x:c r="B7" s="20" t="n">
        <x:v>2</x:v>
      </x:c>
      <x:c r="C7" s="188" t="n">
        <x:v>0.9</x:v>
      </x:c>
      <x:c r="D7" s="188" t="n">
        <x:v>1.1</x:v>
      </x:c>
      <x:c r="E7" s="188" t="n">
        <x:f>MAX(MIN('詳細設定'!$D$15+-0.05,1),0)</x:f>
        <x:v>0.35000000000000003</x:v>
      </x:c>
      <x:c r="F7" s="563" t="n">
        <x:f>SUM('_シナリオ月次'!$J$17:$J$28)</x:f>
        <x:v>5188.4456853003585</x:v>
      </x:c>
      <x:c r="G7" s="563" t="n">
        <x:f>SUM('_シナリオ月次'!$K$17:$K$28)</x:f>
        <x:v>1815.9559898551254</x:v>
      </x:c>
      <x:c r="H7" s="563" t="n">
        <x:f>SUM('_シナリオ月次'!$L$17:$L$28)</x:f>
        <x:v>3372.489695445232</x:v>
      </x:c>
      <x:c r="I7" s="185" t="n">
        <x:f>'_シナリオ月次'!$M$17</x:f>
        <x:v>35.35</x:v>
      </x:c>
      <x:c r="J7" s="185" t="n">
        <x:f>'_シナリオ月次'!$N$17</x:f>
        <x:v>24</x:v>
      </x:c>
      <x:c r="K7" s="190" t="n">
        <x:f>SUM('_シナリオ月次'!$O$17:$O$28)</x:f>
        <x:v>64194.044241378695</x:v>
      </x:c>
      <x:c r="L7" s="190" t="n">
        <x:f>SUM('_シナリオ月次'!$P$17:$P$28)</x:f>
        <x:v>80939.75269068558</x:v>
      </x:c>
      <x:c r="M7" s="190" t="n">
        <x:f>IF(AND('_設定'!$J$23=1,'3分入力'!$D$8&gt;0),MAX('詳細設定'!$D$17,0),0)</x:f>
        <x:v>0</x:v>
      </x:c>
      <x:c r="N7" s="190" t="n">
        <x:f>IF(AND('_設定'!$J$23=1,'3分入力'!$D$8&gt;0,B7='詳細設定'!$D$18),MAX('詳細設定'!$D$19,0),0)</x:f>
        <x:v>0</x:v>
      </x:c>
      <x:c r="O7" s="190" t="n">
        <x:f>K7+L7-M7-N7</x:f>
        <x:v>145133.7969320643</x:v>
      </x:c>
      <x:c r="P7" s="190" t="n">
        <x:f>P6+O7</x:f>
        <x:v>-1360367.990732321</x:v>
      </x:c>
      <x:c r="Q7" s="186" t="str">
        <x:f>IF(AND(P7&gt;=0,MIN(P7:$P$25)&gt;=0),B7,"")</x:f>
      </x:c>
      <x:c r="R7" s="196" t="n">
        <x:v>0</x:v>
      </x:c>
    </x:row>
    <x:row r="8">
      <x:c r="A8" s="20" t="str">
        <x:v>慎重</x:v>
      </x:c>
      <x:c r="B8" s="20" t="n">
        <x:v>3</x:v>
      </x:c>
      <x:c r="C8" s="188" t="n">
        <x:v>0.9</x:v>
      </x:c>
      <x:c r="D8" s="188" t="n">
        <x:v>1.1</x:v>
      </x:c>
      <x:c r="E8" s="188" t="n">
        <x:f>MAX(MIN('詳細設定'!$D$15+-0.05,1),0)</x:f>
        <x:v>0.35000000000000003</x:v>
      </x:c>
      <x:c r="F8" s="563" t="n">
        <x:f>SUM('_シナリオ月次'!$J$29:$J$40)</x:f>
        <x:v>5188.4456853003585</x:v>
      </x:c>
      <x:c r="G8" s="563" t="n">
        <x:f>SUM('_シナリオ月次'!$K$29:$K$40)</x:f>
        <x:v>1815.9559898551254</x:v>
      </x:c>
      <x:c r="H8" s="563" t="n">
        <x:f>SUM('_シナリオ月次'!$L$29:$L$40)</x:f>
        <x:v>3372.489695445232</x:v>
      </x:c>
      <x:c r="I8" s="185" t="n">
        <x:f>'_シナリオ月次'!$M$29</x:f>
        <x:v>35.7035</x:v>
      </x:c>
      <x:c r="J8" s="185" t="n">
        <x:f>'_シナリオ月次'!$N$29</x:f>
        <x:v>24</x:v>
      </x:c>
      <x:c r="K8" s="190" t="n">
        <x:f>SUM('_シナリオ月次'!$O$29:$O$40)</x:f>
        <x:v>64835.98468379247</x:v>
      </x:c>
      <x:c r="L8" s="190" t="n">
        <x:f>SUM('_シナリオ月次'!$P$29:$P$40)</x:f>
        <x:v>80939.75269068558</x:v>
      </x:c>
      <x:c r="M8" s="190" t="n">
        <x:f>IF(AND('_設定'!$J$23=1,'3分入力'!$D$8&gt;0),MAX('詳細設定'!$D$17,0),0)</x:f>
        <x:v>0</x:v>
      </x:c>
      <x:c r="N8" s="190" t="n">
        <x:f>IF(AND('_設定'!$J$23=1,'3分入力'!$D$8&gt;0,B8='詳細設定'!$D$18),MAX('詳細設定'!$D$19,0),0)</x:f>
        <x:v>0</x:v>
      </x:c>
      <x:c r="O8" s="190" t="n">
        <x:f>K8+L8-M8-N8</x:f>
        <x:v>145775.73737447805</x:v>
      </x:c>
      <x:c r="P8" s="190" t="n">
        <x:f>P7+O8</x:f>
        <x:v>-1214592.253357843</x:v>
      </x:c>
      <x:c r="Q8" s="186" t="str">
        <x:f>IF(AND(P8&gt;=0,MIN(P8:$P$25)&gt;=0),B8,"")</x:f>
      </x:c>
      <x:c r="R8" s="196" t="n">
        <x:v>0</x:v>
      </x:c>
    </x:row>
    <x:row r="9">
      <x:c r="A9" s="20" t="str">
        <x:v>慎重</x:v>
      </x:c>
      <x:c r="B9" s="20" t="n">
        <x:v>4</x:v>
      </x:c>
      <x:c r="C9" s="188" t="n">
        <x:v>0.9</x:v>
      </x:c>
      <x:c r="D9" s="188" t="n">
        <x:v>1.1</x:v>
      </x:c>
      <x:c r="E9" s="188" t="n">
        <x:f>MAX(MIN('詳細設定'!$D$15+-0.05,1),0)</x:f>
        <x:v>0.35000000000000003</x:v>
      </x:c>
      <x:c r="F9" s="563" t="n">
        <x:f>SUM('_シナリオ月次'!$J$41:$J$52)</x:f>
        <x:v>5188.4456853003585</x:v>
      </x:c>
      <x:c r="G9" s="563" t="n">
        <x:f>SUM('_シナリオ月次'!$K$41:$K$52)</x:f>
        <x:v>1815.9559898551254</x:v>
      </x:c>
      <x:c r="H9" s="563" t="n">
        <x:f>SUM('_シナリオ月次'!$L$41:$L$52)</x:f>
        <x:v>3372.489695445232</x:v>
      </x:c>
      <x:c r="I9" s="185" t="n">
        <x:f>'_シナリオ月次'!$M$41</x:f>
        <x:v>36.060535</x:v>
      </x:c>
      <x:c r="J9" s="185" t="n">
        <x:f>'_シナリオ月次'!$N$41</x:f>
        <x:v>24</x:v>
      </x:c>
      <x:c r="K9" s="190" t="n">
        <x:f>SUM('_シナリオ月次'!$O$41:$O$52)</x:f>
        <x:v>65484.3445306304</x:v>
      </x:c>
      <x:c r="L9" s="190" t="n">
        <x:f>SUM('_シナリオ月次'!$P$41:$P$52)</x:f>
        <x:v>80939.75269068558</x:v>
      </x:c>
      <x:c r="M9" s="190" t="n">
        <x:f>IF(AND('_設定'!$J$23=1,'3分入力'!$D$8&gt;0),MAX('詳細設定'!$D$17,0),0)</x:f>
        <x:v>0</x:v>
      </x:c>
      <x:c r="N9" s="190" t="n">
        <x:f>IF(AND('_設定'!$J$23=1,'3分入力'!$D$8&gt;0,B9='詳細設定'!$D$18),MAX('詳細設定'!$D$19,0),0)</x:f>
        <x:v>0</x:v>
      </x:c>
      <x:c r="O9" s="190" t="n">
        <x:f>K9+L9-M9-N9</x:f>
        <x:v>146424.09722131598</x:v>
      </x:c>
      <x:c r="P9" s="190" t="n">
        <x:f>P8+O9</x:f>
        <x:v>-1068168.156136527</x:v>
      </x:c>
      <x:c r="Q9" s="186" t="str">
        <x:f>IF(AND(P9&gt;=0,MIN(P9:$P$25)&gt;=0),B9,"")</x:f>
      </x:c>
      <x:c r="R9" s="196" t="n">
        <x:v>0</x:v>
      </x:c>
    </x:row>
    <x:row r="10">
      <x:c r="A10" s="20" t="str">
        <x:v>慎重</x:v>
      </x:c>
      <x:c r="B10" s="20" t="n">
        <x:v>5</x:v>
      </x:c>
      <x:c r="C10" s="188" t="n">
        <x:v>0.9</x:v>
      </x:c>
      <x:c r="D10" s="188" t="n">
        <x:v>1.1</x:v>
      </x:c>
      <x:c r="E10" s="188" t="n">
        <x:f>MAX(MIN('詳細設定'!$D$15+-0.05,1),0)</x:f>
        <x:v>0.35000000000000003</x:v>
      </x:c>
      <x:c r="F10" s="563" t="n">
        <x:f>SUM('_シナリオ月次'!$J$53:$J$64)</x:f>
        <x:v>5188.4456853003585</x:v>
      </x:c>
      <x:c r="G10" s="563" t="n">
        <x:f>SUM('_シナリオ月次'!$K$53:$K$64)</x:f>
        <x:v>1815.9559898551254</x:v>
      </x:c>
      <x:c r="H10" s="563" t="n">
        <x:f>SUM('_シナリオ月次'!$L$53:$L$64)</x:f>
        <x:v>3372.489695445232</x:v>
      </x:c>
      <x:c r="I10" s="185" t="n">
        <x:f>'_シナリオ月次'!$M$53</x:f>
        <x:v>36.42114035</x:v>
      </x:c>
      <x:c r="J10" s="185" t="n">
        <x:f>'_シナリオ月次'!$N$53</x:f>
        <x:v>8.3</x:v>
      </x:c>
      <x:c r="K10" s="190" t="n">
        <x:f>SUM('_シナリオ月次'!$O$53:$O$64)</x:f>
        <x:v>66139.18797593671</x:v>
      </x:c>
      <x:c r="L10" s="190" t="n">
        <x:f>SUM('_シナリオ月次'!$P$53:$P$64)</x:f>
        <x:v>27991.66447219543</x:v>
      </x:c>
      <x:c r="M10" s="190" t="n">
        <x:f>IF(AND('_設定'!$J$23=1,'3分入力'!$D$8&gt;0),MAX('詳細設定'!$D$17,0),0)</x:f>
        <x:v>0</x:v>
      </x:c>
      <x:c r="N10" s="190" t="n">
        <x:f>IF(AND('_設定'!$J$23=1,'3分入力'!$D$8&gt;0,B10='詳細設定'!$D$18),MAX('詳細設定'!$D$19,0),0)</x:f>
        <x:v>0</x:v>
      </x:c>
      <x:c r="O10" s="190" t="n">
        <x:f>K10+L10-M10-N10</x:f>
        <x:v>94130.85244813215</x:v>
      </x:c>
      <x:c r="P10" s="190" t="n">
        <x:f>P9+O10</x:f>
        <x:v>-974037.3036883948</x:v>
      </x:c>
      <x:c r="Q10" s="186" t="str">
        <x:f>IF(AND(P10&gt;=0,MIN(P10:$P$25)&gt;=0),B10,"")</x:f>
      </x:c>
      <x:c r="R10" s="196" t="n">
        <x:v>0</x:v>
      </x:c>
    </x:row>
    <x:row r="11">
      <x:c r="A11" s="20" t="str">
        <x:v>慎重</x:v>
      </x:c>
      <x:c r="B11" s="20" t="n">
        <x:v>6</x:v>
      </x:c>
      <x:c r="C11" s="188" t="n">
        <x:v>0.9</x:v>
      </x:c>
      <x:c r="D11" s="188" t="n">
        <x:v>1.1</x:v>
      </x:c>
      <x:c r="E11" s="188" t="n">
        <x:f>MAX(MIN('詳細設定'!$D$15+-0.05,1),0)</x:f>
        <x:v>0.35000000000000003</x:v>
      </x:c>
      <x:c r="F11" s="563" t="n">
        <x:f>SUM('_シナリオ月次'!$J$65:$J$76)</x:f>
        <x:v>5188.4456853003585</x:v>
      </x:c>
      <x:c r="G11" s="563" t="n">
        <x:f>SUM('_シナリオ月次'!$K$65:$K$76)</x:f>
        <x:v>1815.9559898551254</x:v>
      </x:c>
      <x:c r="H11" s="563" t="n">
        <x:f>SUM('_シナリオ月次'!$L$65:$L$76)</x:f>
        <x:v>3372.489695445232</x:v>
      </x:c>
      <x:c r="I11" s="185" t="n">
        <x:f>'_シナリオ月次'!$M$65</x:f>
        <x:v>36.7853517535</x:v>
      </x:c>
      <x:c r="J11" s="185" t="n">
        <x:f>'_シナリオ月次'!$N$65</x:f>
        <x:v>8.3</x:v>
      </x:c>
      <x:c r="K11" s="190" t="n">
        <x:f>SUM('_シナリオ月次'!$O$65:$O$76)</x:f>
        <x:v>66800.57985569607</x:v>
      </x:c>
      <x:c r="L11" s="190" t="n">
        <x:f>SUM('_シナリオ月次'!$P$65:$P$76)</x:f>
        <x:v>27991.66447219543</x:v>
      </x:c>
      <x:c r="M11" s="190" t="n">
        <x:f>IF(AND('_設定'!$J$23=1,'3分入力'!$D$8&gt;0),MAX('詳細設定'!$D$17,0),0)</x:f>
        <x:v>0</x:v>
      </x:c>
      <x:c r="N11" s="190" t="n">
        <x:f>IF(AND('_設定'!$J$23=1,'3分入力'!$D$8&gt;0,B11='詳細設定'!$D$18),MAX('詳細設定'!$D$19,0),0)</x:f>
        <x:v>0</x:v>
      </x:c>
      <x:c r="O11" s="190" t="n">
        <x:f>K11+L11-M11-N11</x:f>
        <x:v>94792.2443278915</x:v>
      </x:c>
      <x:c r="P11" s="190" t="n">
        <x:f>P10+O11</x:f>
        <x:v>-879245.0593605033</x:v>
      </x:c>
      <x:c r="Q11" s="186" t="str">
        <x:f>IF(AND(P11&gt;=0,MIN(P11:$P$25)&gt;=0),B11,"")</x:f>
      </x:c>
      <x:c r="R11" s="196" t="n">
        <x:v>0</x:v>
      </x:c>
    </x:row>
    <x:row r="12">
      <x:c r="A12" s="20" t="str">
        <x:v>慎重</x:v>
      </x:c>
      <x:c r="B12" s="20" t="n">
        <x:v>7</x:v>
      </x:c>
      <x:c r="C12" s="188" t="n">
        <x:v>0.9</x:v>
      </x:c>
      <x:c r="D12" s="188" t="n">
        <x:v>1.1</x:v>
      </x:c>
      <x:c r="E12" s="188" t="n">
        <x:f>MAX(MIN('詳細設定'!$D$15+-0.05,1),0)</x:f>
        <x:v>0.35000000000000003</x:v>
      </x:c>
      <x:c r="F12" s="563" t="n">
        <x:f>SUM('_シナリオ月次'!$J$77:$J$88)</x:f>
        <x:v>5188.4456853003585</x:v>
      </x:c>
      <x:c r="G12" s="563" t="n">
        <x:f>SUM('_シナリオ月次'!$K$77:$K$88)</x:f>
        <x:v>1815.9559898551254</x:v>
      </x:c>
      <x:c r="H12" s="563" t="n">
        <x:f>SUM('_シナリオ月次'!$L$77:$L$88)</x:f>
        <x:v>3372.489695445232</x:v>
      </x:c>
      <x:c r="I12" s="185" t="n">
        <x:f>'_シナリオ月次'!$M$77</x:f>
        <x:v>37.153205271035006</x:v>
      </x:c>
      <x:c r="J12" s="185" t="n">
        <x:f>'_シナリオ月次'!$N$77</x:f>
        <x:v>8.3</x:v>
      </x:c>
      <x:c r="K12" s="190" t="n">
        <x:f>SUM('_シナリオ月次'!$O$77:$O$88)</x:f>
        <x:v>67468.58565425302</x:v>
      </x:c>
      <x:c r="L12" s="190" t="n">
        <x:f>SUM('_シナリオ月次'!$P$77:$P$88)</x:f>
        <x:v>27991.66447219543</x:v>
      </x:c>
      <x:c r="M12" s="190" t="n">
        <x:f>IF(AND('_設定'!$J$23=1,'3分入力'!$D$8&gt;0),MAX('詳細設定'!$D$17,0),0)</x:f>
        <x:v>0</x:v>
      </x:c>
      <x:c r="N12" s="190" t="n">
        <x:f>IF(AND('_設定'!$J$23=1,'3分入力'!$D$8&gt;0,B12='詳細設定'!$D$18),MAX('詳細設定'!$D$19,0),0)</x:f>
        <x:v>0</x:v>
      </x:c>
      <x:c r="O12" s="190" t="n">
        <x:f>K12+L12-M12-N12</x:f>
        <x:v>95460.25012644846</x:v>
      </x:c>
      <x:c r="P12" s="190" t="n">
        <x:f>P11+O12</x:f>
        <x:v>-783784.8092340549</x:v>
      </x:c>
      <x:c r="Q12" s="186" t="str">
        <x:f>IF(AND(P12&gt;=0,MIN(P12:$P$25)&gt;=0),B12,"")</x:f>
      </x:c>
      <x:c r="R12" s="196" t="n">
        <x:v>0</x:v>
      </x:c>
    </x:row>
    <x:row r="13">
      <x:c r="A13" s="20" t="str">
        <x:v>慎重</x:v>
      </x:c>
      <x:c r="B13" s="20" t="n">
        <x:v>8</x:v>
      </x:c>
      <x:c r="C13" s="188" t="n">
        <x:v>0.9</x:v>
      </x:c>
      <x:c r="D13" s="188" t="n">
        <x:v>1.1</x:v>
      </x:c>
      <x:c r="E13" s="188" t="n">
        <x:f>MAX(MIN('詳細設定'!$D$15+-0.05,1),0)</x:f>
        <x:v>0.35000000000000003</x:v>
      </x:c>
      <x:c r="F13" s="563" t="n">
        <x:f>SUM('_シナリオ月次'!$J$89:$J$100)</x:f>
        <x:v>5188.4456853003585</x:v>
      </x:c>
      <x:c r="G13" s="563" t="n">
        <x:f>SUM('_シナリオ月次'!$K$89:$K$100)</x:f>
        <x:v>1815.9559898551254</x:v>
      </x:c>
      <x:c r="H13" s="563" t="n">
        <x:f>SUM('_シナリオ月次'!$L$89:$L$100)</x:f>
        <x:v>3372.489695445232</x:v>
      </x:c>
      <x:c r="I13" s="185" t="n">
        <x:f>'_シナリオ月次'!$M$89</x:f>
        <x:v>37.52473732374535</x:v>
      </x:c>
      <x:c r="J13" s="185" t="n">
        <x:f>'_シナリオ月次'!$N$89</x:f>
        <x:v>8.3</x:v>
      </x:c>
      <x:c r="K13" s="190" t="n">
        <x:f>SUM('_シナリオ月次'!$O$89:$O$100)</x:f>
        <x:v>68143.27151079554</x:v>
      </x:c>
      <x:c r="L13" s="190" t="n">
        <x:f>SUM('_シナリオ月次'!$P$89:$P$100)</x:f>
        <x:v>27991.66447219543</x:v>
      </x:c>
      <x:c r="M13" s="190" t="n">
        <x:f>IF(AND('_設定'!$J$23=1,'3分入力'!$D$8&gt;0),MAX('詳細設定'!$D$17,0),0)</x:f>
        <x:v>0</x:v>
      </x:c>
      <x:c r="N13" s="190" t="n">
        <x:f>IF(AND('_設定'!$J$23=1,'3分入力'!$D$8&gt;0,B13='詳細設定'!$D$18),MAX('詳細設定'!$D$19,0),0)</x:f>
        <x:v>0</x:v>
      </x:c>
      <x:c r="O13" s="190" t="n">
        <x:f>K13+L13-M13-N13</x:f>
        <x:v>96134.93598299098</x:v>
      </x:c>
      <x:c r="P13" s="190" t="n">
        <x:f>P12+O13</x:f>
        <x:v>-687649.8732510639</x:v>
      </x:c>
      <x:c r="Q13" s="186" t="str">
        <x:f>IF(AND(P13&gt;=0,MIN(P13:$P$25)&gt;=0),B13,"")</x:f>
      </x:c>
      <x:c r="R13" s="196" t="n">
        <x:v>0</x:v>
      </x:c>
    </x:row>
    <x:row r="14">
      <x:c r="A14" s="20" t="str">
        <x:v>慎重</x:v>
      </x:c>
      <x:c r="B14" s="20" t="n">
        <x:v>9</x:v>
      </x:c>
      <x:c r="C14" s="188" t="n">
        <x:v>0.9</x:v>
      </x:c>
      <x:c r="D14" s="188" t="n">
        <x:v>1.1</x:v>
      </x:c>
      <x:c r="E14" s="188" t="n">
        <x:f>MAX(MIN('詳細設定'!$D$15+-0.05,1),0)</x:f>
        <x:v>0.35000000000000003</x:v>
      </x:c>
      <x:c r="F14" s="563" t="n">
        <x:f>SUM('_シナリオ月次'!$J$101:$J$112)</x:f>
        <x:v>5188.4456853003585</x:v>
      </x:c>
      <x:c r="G14" s="563" t="n">
        <x:f>SUM('_シナリオ月次'!$K$101:$K$112)</x:f>
        <x:v>1815.9559898551254</x:v>
      </x:c>
      <x:c r="H14" s="563" t="n">
        <x:f>SUM('_シナリオ月次'!$L$101:$L$112)</x:f>
        <x:v>3372.489695445232</x:v>
      </x:c>
      <x:c r="I14" s="185" t="n">
        <x:f>'_シナリオ月次'!$M$101</x:f>
        <x:v>37.899984696982806</x:v>
      </x:c>
      <x:c r="J14" s="185" t="n">
        <x:f>'_シナリオ月次'!$N$101</x:f>
        <x:v>8.3</x:v>
      </x:c>
      <x:c r="K14" s="190" t="n">
        <x:f>SUM('_シナリオ月次'!$O$101:$O$112)</x:f>
        <x:v>68824.70422590351</x:v>
      </x:c>
      <x:c r="L14" s="190" t="n">
        <x:f>SUM('_シナリオ月次'!$P$101:$P$112)</x:f>
        <x:v>27991.66447219543</x:v>
      </x:c>
      <x:c r="M14" s="190" t="n">
        <x:f>IF(AND('_設定'!$J$23=1,'3分入力'!$D$8&gt;0),MAX('詳細設定'!$D$17,0),0)</x:f>
        <x:v>0</x:v>
      </x:c>
      <x:c r="N14" s="190" t="n">
        <x:f>IF(AND('_設定'!$J$23=1,'3分入力'!$D$8&gt;0,B14='詳細設定'!$D$18),MAX('詳細設定'!$D$19,0),0)</x:f>
        <x:v>0</x:v>
      </x:c>
      <x:c r="O14" s="190" t="n">
        <x:f>K14+L14-M14-N14</x:f>
        <x:v>96816.36869809893</x:v>
      </x:c>
      <x:c r="P14" s="190" t="n">
        <x:f>P13+O14</x:f>
        <x:v>-590833.5045529649</x:v>
      </x:c>
      <x:c r="Q14" s="186" t="str">
        <x:f>IF(AND(P14&gt;=0,MIN(P14:$P$25)&gt;=0),B14,"")</x:f>
      </x:c>
      <x:c r="R14" s="196" t="n">
        <x:v>0</x:v>
      </x:c>
    </x:row>
    <x:row r="15">
      <x:c r="A15" s="20" t="str">
        <x:v>慎重</x:v>
      </x:c>
      <x:c r="B15" s="20" t="n">
        <x:v>10</x:v>
      </x:c>
      <x:c r="C15" s="188" t="n">
        <x:v>0.9</x:v>
      </x:c>
      <x:c r="D15" s="188" t="n">
        <x:v>1.1</x:v>
      </x:c>
      <x:c r="E15" s="188" t="n">
        <x:f>MAX(MIN('詳細設定'!$D$15+-0.05,1),0)</x:f>
        <x:v>0.35000000000000003</x:v>
      </x:c>
      <x:c r="F15" s="563" t="n">
        <x:f>SUM('_シナリオ月次'!$J$113:$J$124)</x:f>
        <x:v>5188.4456853003585</x:v>
      </x:c>
      <x:c r="G15" s="563" t="n">
        <x:f>SUM('_シナリオ月次'!$K$113:$K$124)</x:f>
        <x:v>1815.9559898551254</x:v>
      </x:c>
      <x:c r="H15" s="563" t="n">
        <x:f>SUM('_シナリオ月次'!$L$113:$L$124)</x:f>
        <x:v>3372.489695445232</x:v>
      </x:c>
      <x:c r="I15" s="185" t="n">
        <x:f>'_シナリオ月次'!$M$113</x:f>
        <x:v>38.27898454395263</x:v>
      </x:c>
      <x:c r="J15" s="185" t="n">
        <x:f>'_シナリオ月次'!$N$113</x:f>
        <x:v>8.3</x:v>
      </x:c>
      <x:c r="K15" s="190" t="n">
        <x:f>SUM('_シナリオ月次'!$O$113:$O$124)</x:f>
        <x:v>69512.95126816255</x:v>
      </x:c>
      <x:c r="L15" s="190" t="n">
        <x:f>SUM('_シナリオ月次'!$P$113:$P$124)</x:f>
        <x:v>27991.66447219543</x:v>
      </x:c>
      <x:c r="M15" s="190" t="n">
        <x:f>IF(AND('_設定'!$J$23=1,'3分入力'!$D$8&gt;0),MAX('詳細設定'!$D$17,0),0)</x:f>
        <x:v>0</x:v>
      </x:c>
      <x:c r="N15" s="190" t="n">
        <x:f>IF(AND('_設定'!$J$23=1,'3分入力'!$D$8&gt;0,B15='詳細設定'!$D$18),MAX('詳細設定'!$D$19,0),0)</x:f>
        <x:v>0</x:v>
      </x:c>
      <x:c r="O15" s="190" t="n">
        <x:f>K15+L15-M15-N15</x:f>
        <x:v>97504.61574035799</x:v>
      </x:c>
      <x:c r="P15" s="190" t="n">
        <x:f>P14+O15</x:f>
        <x:v>-493328.8888126069</x:v>
      </x:c>
      <x:c r="Q15" s="186" t="str">
        <x:f>IF(AND(P15&gt;=0,MIN(P15:$P$25)&gt;=0),B15,"")</x:f>
      </x:c>
      <x:c r="R15" s="196" t="n">
        <x:v>0</x:v>
      </x:c>
    </x:row>
    <x:row r="16">
      <x:c r="A16" s="20" t="str">
        <x:v>慎重</x:v>
      </x:c>
      <x:c r="B16" s="20" t="n">
        <x:v>11</x:v>
      </x:c>
      <x:c r="C16" s="188" t="n">
        <x:v>0.9</x:v>
      </x:c>
      <x:c r="D16" s="188" t="n">
        <x:v>1.1</x:v>
      </x:c>
      <x:c r="E16" s="188" t="n">
        <x:f>MAX(MIN('詳細設定'!$D$15+-0.05,1),0)</x:f>
        <x:v>0.35000000000000003</x:v>
      </x:c>
      <x:c r="F16" s="563" t="n">
        <x:f>SUM('_シナリオ月次'!$J$125:$J$136)</x:f>
        <x:v>5188.4456853003585</x:v>
      </x:c>
      <x:c r="G16" s="563" t="n">
        <x:f>SUM('_シナリオ月次'!$K$125:$K$136)</x:f>
        <x:v>1815.9559898551254</x:v>
      </x:c>
      <x:c r="H16" s="563" t="n">
        <x:f>SUM('_シナリオ月次'!$L$125:$L$136)</x:f>
        <x:v>3372.489695445232</x:v>
      </x:c>
      <x:c r="I16" s="185" t="n">
        <x:f>'_シナリオ月次'!$M$125</x:f>
        <x:v>38.66177438939216</x:v>
      </x:c>
      <x:c r="J16" s="185" t="n">
        <x:f>'_シナリオ月次'!$N$125</x:f>
        <x:v>8.3</x:v>
      </x:c>
      <x:c r="K16" s="190" t="n">
        <x:f>SUM('_シナリオ月次'!$O$125:$O$136)</x:f>
        <x:v>70208.08078084416</x:v>
      </x:c>
      <x:c r="L16" s="190" t="n">
        <x:f>SUM('_シナリオ月次'!$P$125:$P$136)</x:f>
        <x:v>27991.66447219543</x:v>
      </x:c>
      <x:c r="M16" s="190" t="n">
        <x:f>IF(AND('_設定'!$J$23=1,'3分入力'!$D$8&gt;0),MAX('詳細設定'!$D$17,0),0)</x:f>
        <x:v>0</x:v>
      </x:c>
      <x:c r="N16" s="190" t="n">
        <x:f>IF(AND('_設定'!$J$23=1,'3分入力'!$D$8&gt;0,B16='詳細設定'!$D$18),MAX('詳細設定'!$D$19,0),0)</x:f>
        <x:v>0</x:v>
      </x:c>
      <x:c r="O16" s="190" t="n">
        <x:f>K16+L16-M16-N16</x:f>
        <x:v>98199.74525303958</x:v>
      </x:c>
      <x:c r="P16" s="190" t="n">
        <x:f>P15+O16</x:f>
        <x:v>-395129.14355956734</x:v>
      </x:c>
      <x:c r="Q16" s="186" t="str">
        <x:f>IF(AND(P16&gt;=0,MIN(P16:$P$25)&gt;=0),B16,"")</x:f>
      </x:c>
      <x:c r="R16" s="196" t="n">
        <x:v>0</x:v>
      </x:c>
    </x:row>
    <x:row r="17">
      <x:c r="A17" s="20" t="str">
        <x:v>慎重</x:v>
      </x:c>
      <x:c r="B17" s="20" t="n">
        <x:v>12</x:v>
      </x:c>
      <x:c r="C17" s="188" t="n">
        <x:v>0.9</x:v>
      </x:c>
      <x:c r="D17" s="188" t="n">
        <x:v>1.1</x:v>
      </x:c>
      <x:c r="E17" s="188" t="n">
        <x:f>MAX(MIN('詳細設定'!$D$15+-0.05,1),0)</x:f>
        <x:v>0.35000000000000003</x:v>
      </x:c>
      <x:c r="F17" s="563" t="n">
        <x:f>SUM('_シナリオ月次'!$J$137:$J$148)</x:f>
        <x:v>5188.4456853003585</x:v>
      </x:c>
      <x:c r="G17" s="563" t="n">
        <x:f>SUM('_シナリオ月次'!$K$137:$K$148)</x:f>
        <x:v>1815.9559898551254</x:v>
      </x:c>
      <x:c r="H17" s="563" t="n">
        <x:f>SUM('_シナリオ月次'!$L$137:$L$148)</x:f>
        <x:v>3372.489695445232</x:v>
      </x:c>
      <x:c r="I17" s="185" t="n">
        <x:f>'_シナリオ月次'!$M$137</x:f>
        <x:v>39.04839213328608</x:v>
      </x:c>
      <x:c r="J17" s="185" t="n">
        <x:f>'_シナリオ月次'!$N$137</x:f>
        <x:v>8.3</x:v>
      </x:c>
      <x:c r="K17" s="190" t="n">
        <x:f>SUM('_シナリオ月次'!$O$137:$O$148)</x:f>
        <x:v>70910.16158865261</x:v>
      </x:c>
      <x:c r="L17" s="190" t="n">
        <x:f>SUM('_シナリオ月次'!$P$137:$P$148)</x:f>
        <x:v>27991.66447219543</x:v>
      </x:c>
      <x:c r="M17" s="190" t="n">
        <x:f>IF(AND('_設定'!$J$23=1,'3分入力'!$D$8&gt;0),MAX('詳細設定'!$D$17,0),0)</x:f>
        <x:v>0</x:v>
      </x:c>
      <x:c r="N17" s="190" t="n">
        <x:f>IF(AND('_設定'!$J$23=1,'3分入力'!$D$8&gt;0,B17='詳細設定'!$D$18),MAX('詳細設定'!$D$19,0),0)</x:f>
        <x:v>250000</x:v>
      </x:c>
      <x:c r="O17" s="190" t="n">
        <x:f>K17+L17-M17-N17</x:f>
        <x:v>-151098.17393915195</x:v>
      </x:c>
      <x:c r="P17" s="190" t="n">
        <x:f>P16+O17</x:f>
        <x:v>-546227.3174987193</x:v>
      </x:c>
      <x:c r="Q17" s="186" t="str">
        <x:f>IF(AND(P17&gt;=0,MIN(P17:$P$25)&gt;=0),B17,"")</x:f>
      </x:c>
      <x:c r="R17" s="196" t="n">
        <x:v>0</x:v>
      </x:c>
    </x:row>
    <x:row r="18">
      <x:c r="A18" s="20" t="str">
        <x:v>慎重</x:v>
      </x:c>
      <x:c r="B18" s="20" t="n">
        <x:v>13</x:v>
      </x:c>
      <x:c r="C18" s="188" t="n">
        <x:v>0.9</x:v>
      </x:c>
      <x:c r="D18" s="188" t="n">
        <x:v>1.1</x:v>
      </x:c>
      <x:c r="E18" s="188" t="n">
        <x:f>MAX(MIN('詳細設定'!$D$15+-0.05,1),0)</x:f>
        <x:v>0.35000000000000003</x:v>
      </x:c>
      <x:c r="F18" s="563" t="n">
        <x:f>SUM('_シナリオ月次'!$J$149:$J$160)</x:f>
        <x:v>5188.4456853003585</x:v>
      </x:c>
      <x:c r="G18" s="563" t="n">
        <x:f>SUM('_シナリオ月次'!$K$149:$K$160)</x:f>
        <x:v>1815.9559898551254</x:v>
      </x:c>
      <x:c r="H18" s="563" t="n">
        <x:f>SUM('_シナリオ月次'!$L$149:$L$160)</x:f>
        <x:v>3372.489695445232</x:v>
      </x:c>
      <x:c r="I18" s="185" t="n">
        <x:f>'_シナリオ月次'!$M$149</x:f>
        <x:v>39.438876054618945</x:v>
      </x:c>
      <x:c r="J18" s="185" t="n">
        <x:f>'_シナリオ月次'!$N$149</x:f>
        <x:v>8.3</x:v>
      </x:c>
      <x:c r="K18" s="190" t="n">
        <x:f>SUM('_シナリオ月次'!$O$149:$O$160)</x:f>
        <x:v>71619.26320453915</x:v>
      </x:c>
      <x:c r="L18" s="190" t="n">
        <x:f>SUM('_シナリオ月次'!$P$149:$P$160)</x:f>
        <x:v>27991.66447219543</x:v>
      </x:c>
      <x:c r="M18" s="190" t="n">
        <x:f>IF(AND('_設定'!$J$23=1,'3分入力'!$D$8&gt;0),MAX('詳細設定'!$D$17,0),0)</x:f>
        <x:v>0</x:v>
      </x:c>
      <x:c r="N18" s="190" t="n">
        <x:f>IF(AND('_設定'!$J$23=1,'3分入力'!$D$8&gt;0,B18='詳細設定'!$D$18),MAX('詳細設定'!$D$19,0),0)</x:f>
        <x:v>0</x:v>
      </x:c>
      <x:c r="O18" s="190" t="n">
        <x:f>K18+L18-M18-N18</x:f>
        <x:v>99610.92767673457</x:v>
      </x:c>
      <x:c r="P18" s="190" t="n">
        <x:f>P17+O18</x:f>
        <x:v>-446616.38982198475</x:v>
      </x:c>
      <x:c r="Q18" s="186" t="str">
        <x:f>IF(AND(P18&gt;=0,MIN(P18:$P$25)&gt;=0),B18,"")</x:f>
      </x:c>
      <x:c r="R18" s="196" t="n">
        <x:v>0</x:v>
      </x:c>
    </x:row>
    <x:row r="19">
      <x:c r="A19" s="20" t="str">
        <x:v>慎重</x:v>
      </x:c>
      <x:c r="B19" s="20" t="n">
        <x:v>14</x:v>
      </x:c>
      <x:c r="C19" s="188" t="n">
        <x:v>0.9</x:v>
      </x:c>
      <x:c r="D19" s="188" t="n">
        <x:v>1.1</x:v>
      </x:c>
      <x:c r="E19" s="188" t="n">
        <x:f>MAX(MIN('詳細設定'!$D$15+-0.05,1),0)</x:f>
        <x:v>0.35000000000000003</x:v>
      </x:c>
      <x:c r="F19" s="563" t="n">
        <x:f>SUM('_シナリオ月次'!$J$161:$J$172)</x:f>
        <x:v>5188.4456853003585</x:v>
      </x:c>
      <x:c r="G19" s="563" t="n">
        <x:f>SUM('_シナリオ月次'!$K$161:$K$172)</x:f>
        <x:v>1815.9559898551254</x:v>
      </x:c>
      <x:c r="H19" s="563" t="n">
        <x:f>SUM('_シナリオ月次'!$L$161:$L$172)</x:f>
        <x:v>3372.489695445232</x:v>
      </x:c>
      <x:c r="I19" s="185" t="n">
        <x:f>'_シナリオ月次'!$M$161</x:f>
        <x:v>39.83326481516513</x:v>
      </x:c>
      <x:c r="J19" s="185" t="n">
        <x:f>'_シナリオ月次'!$N$161</x:f>
        <x:v>8.3</x:v>
      </x:c>
      <x:c r="K19" s="190" t="n">
        <x:f>SUM('_シナリオ月次'!$O$161:$O$172)</x:f>
        <x:v>72335.45583658454</x:v>
      </x:c>
      <x:c r="L19" s="190" t="n">
        <x:f>SUM('_シナリオ月次'!$P$161:$P$172)</x:f>
        <x:v>27991.66447219543</x:v>
      </x:c>
      <x:c r="M19" s="190" t="n">
        <x:f>IF(AND('_設定'!$J$23=1,'3分入力'!$D$8&gt;0),MAX('詳細設定'!$D$17,0),0)</x:f>
        <x:v>0</x:v>
      </x:c>
      <x:c r="N19" s="190" t="n">
        <x:f>IF(AND('_設定'!$J$23=1,'3分入力'!$D$8&gt;0,B19='詳細設定'!$D$18),MAX('詳細設定'!$D$19,0),0)</x:f>
        <x:v>0</x:v>
      </x:c>
      <x:c r="O19" s="190" t="n">
        <x:f>K19+L19-M19-N19</x:f>
        <x:v>100327.12030877997</x:v>
      </x:c>
      <x:c r="P19" s="190" t="n">
        <x:f>P18+O19</x:f>
        <x:v>-346289.2695132048</x:v>
      </x:c>
      <x:c r="Q19" s="186" t="str">
        <x:f>IF(AND(P19&gt;=0,MIN(P19:$P$25)&gt;=0),B19,"")</x:f>
      </x:c>
      <x:c r="R19" s="196" t="n">
        <x:v>0</x:v>
      </x:c>
    </x:row>
    <x:row r="20">
      <x:c r="A20" s="20" t="str">
        <x:v>慎重</x:v>
      </x:c>
      <x:c r="B20" s="20" t="n">
        <x:v>15</x:v>
      </x:c>
      <x:c r="C20" s="188" t="n">
        <x:v>0.9</x:v>
      </x:c>
      <x:c r="D20" s="188" t="n">
        <x:v>1.1</x:v>
      </x:c>
      <x:c r="E20" s="188" t="n">
        <x:f>MAX(MIN('詳細設定'!$D$15+-0.05,1),0)</x:f>
        <x:v>0.35000000000000003</x:v>
      </x:c>
      <x:c r="F20" s="563" t="n">
        <x:f>SUM('_シナリオ月次'!$J$173:$J$184)</x:f>
        <x:v>5188.4456853003585</x:v>
      </x:c>
      <x:c r="G20" s="563" t="n">
        <x:f>SUM('_シナリオ月次'!$K$173:$K$184)</x:f>
        <x:v>1815.9559898551254</x:v>
      </x:c>
      <x:c r="H20" s="563" t="n">
        <x:f>SUM('_シナリオ月次'!$L$173:$L$184)</x:f>
        <x:v>3372.489695445232</x:v>
      </x:c>
      <x:c r="I20" s="185" t="n">
        <x:f>'_シナリオ月次'!$M$173</x:f>
        <x:v>40.23159746331679</x:v>
      </x:c>
      <x:c r="J20" s="185" t="n">
        <x:f>'_シナリオ月次'!$N$173</x:f>
        <x:v>8.3</x:v>
      </x:c>
      <x:c r="K20" s="190" t="n">
        <x:f>SUM('_シナリオ月次'!$O$173:$O$184)</x:f>
        <x:v>73058.81039495039</x:v>
      </x:c>
      <x:c r="L20" s="190" t="n">
        <x:f>SUM('_シナリオ月次'!$P$173:$P$184)</x:f>
        <x:v>27991.66447219543</x:v>
      </x:c>
      <x:c r="M20" s="190" t="n">
        <x:f>IF(AND('_設定'!$J$23=1,'3分入力'!$D$8&gt;0),MAX('詳細設定'!$D$17,0),0)</x:f>
        <x:v>0</x:v>
      </x:c>
      <x:c r="N20" s="190" t="n">
        <x:f>IF(AND('_設定'!$J$23=1,'3分入力'!$D$8&gt;0,B20='詳細設定'!$D$18),MAX('詳細設定'!$D$19,0),0)</x:f>
        <x:v>0</x:v>
      </x:c>
      <x:c r="O20" s="190" t="n">
        <x:f>K20+L20-M20-N20</x:f>
        <x:v>101050.47486714582</x:v>
      </x:c>
      <x:c r="P20" s="190" t="n">
        <x:f>P19+O20</x:f>
        <x:v>-245238.794646059</x:v>
      </x:c>
      <x:c r="Q20" s="186" t="str">
        <x:f>IF(AND(P20&gt;=0,MIN(P20:$P$25)&gt;=0),B20,"")</x:f>
      </x:c>
      <x:c r="R20" s="196" t="n">
        <x:v>0</x:v>
      </x:c>
    </x:row>
    <x:row r="21">
      <x:c r="A21" s="20" t="str">
        <x:v>慎重</x:v>
      </x:c>
      <x:c r="B21" s="20" t="n">
        <x:v>16</x:v>
      </x:c>
      <x:c r="C21" s="188" t="n">
        <x:v>0.9</x:v>
      </x:c>
      <x:c r="D21" s="188" t="n">
        <x:v>1.1</x:v>
      </x:c>
      <x:c r="E21" s="188" t="n">
        <x:f>MAX(MIN('詳細設定'!$D$15+-0.05,1),0)</x:f>
        <x:v>0.35000000000000003</x:v>
      </x:c>
      <x:c r="F21" s="563" t="n">
        <x:f>SUM('_シナリオ月次'!$J$185:$J$196)</x:f>
        <x:v>5188.4456853003585</x:v>
      </x:c>
      <x:c r="G21" s="563" t="n">
        <x:f>SUM('_シナリオ月次'!$K$185:$K$196)</x:f>
        <x:v>1815.9559898551254</x:v>
      </x:c>
      <x:c r="H21" s="563" t="n">
        <x:f>SUM('_シナリオ月次'!$L$185:$L$196)</x:f>
        <x:v>3372.489695445232</x:v>
      </x:c>
      <x:c r="I21" s="185" t="n">
        <x:f>'_シナリオ月次'!$M$185</x:f>
        <x:v>40.63391343794996</x:v>
      </x:c>
      <x:c r="J21" s="185" t="n">
        <x:f>'_シナリオ月次'!$N$185</x:f>
        <x:v>8.3</x:v>
      </x:c>
      <x:c r="K21" s="190" t="n">
        <x:f>SUM('_シナリオ月次'!$O$185:$O$196)</x:f>
        <x:v>73789.39849889989</x:v>
      </x:c>
      <x:c r="L21" s="190" t="n">
        <x:f>SUM('_シナリオ月次'!$P$185:$P$196)</x:f>
        <x:v>27991.66447219543</x:v>
      </x:c>
      <x:c r="M21" s="190" t="n">
        <x:f>IF(AND('_設定'!$J$23=1,'3分入力'!$D$8&gt;0),MAX('詳細設定'!$D$17,0),0)</x:f>
        <x:v>0</x:v>
      </x:c>
      <x:c r="N21" s="190" t="n">
        <x:f>IF(AND('_設定'!$J$23=1,'3分入力'!$D$8&gt;0,B21='詳細設定'!$D$18),MAX('詳細設定'!$D$19,0),0)</x:f>
        <x:v>0</x:v>
      </x:c>
      <x:c r="O21" s="190" t="n">
        <x:f>K21+L21-M21-N21</x:f>
        <x:v>101781.06297109532</x:v>
      </x:c>
      <x:c r="P21" s="190" t="n">
        <x:f>P20+O21</x:f>
        <x:v>-143457.73167496367</x:v>
      </x:c>
      <x:c r="Q21" s="186" t="str">
        <x:f>IF(AND(P21&gt;=0,MIN(P21:$P$25)&gt;=0),B21,"")</x:f>
      </x:c>
      <x:c r="R21" s="196" t="n">
        <x:v>0</x:v>
      </x:c>
    </x:row>
    <x:row r="22">
      <x:c r="A22" s="20" t="str">
        <x:v>慎重</x:v>
      </x:c>
      <x:c r="B22" s="20" t="n">
        <x:v>17</x:v>
      </x:c>
      <x:c r="C22" s="188" t="n">
        <x:v>0.9</x:v>
      </x:c>
      <x:c r="D22" s="188" t="n">
        <x:v>1.1</x:v>
      </x:c>
      <x:c r="E22" s="188" t="n">
        <x:f>MAX(MIN('詳細設定'!$D$15+-0.05,1),0)</x:f>
        <x:v>0.35000000000000003</x:v>
      </x:c>
      <x:c r="F22" s="563" t="n">
        <x:f>SUM('_シナリオ月次'!$J$197:$J$208)</x:f>
        <x:v>5188.4456853003585</x:v>
      </x:c>
      <x:c r="G22" s="563" t="n">
        <x:f>SUM('_シナリオ月次'!$K$197:$K$208)</x:f>
        <x:v>1815.9559898551254</x:v>
      </x:c>
      <x:c r="H22" s="563" t="n">
        <x:f>SUM('_シナリオ月次'!$L$197:$L$208)</x:f>
        <x:v>3372.489695445232</x:v>
      </x:c>
      <x:c r="I22" s="185" t="n">
        <x:f>'_シナリオ月次'!$M$197</x:f>
        <x:v>41.04025257232946</x:v>
      </x:c>
      <x:c r="J22" s="185" t="n">
        <x:f>'_シナリオ月次'!$N$197</x:f>
        <x:v>8.3</x:v>
      </x:c>
      <x:c r="K22" s="190" t="n">
        <x:f>SUM('_シナリオ月次'!$O$197:$O$208)</x:f>
        <x:v>74527.29248388889</x:v>
      </x:c>
      <x:c r="L22" s="190" t="n">
        <x:f>SUM('_シナリオ月次'!$P$197:$P$208)</x:f>
        <x:v>27991.66447219543</x:v>
      </x:c>
      <x:c r="M22" s="190" t="n">
        <x:f>IF(AND('_設定'!$J$23=1,'3分入力'!$D$8&gt;0),MAX('詳細設定'!$D$17,0),0)</x:f>
        <x:v>0</x:v>
      </x:c>
      <x:c r="N22" s="190" t="n">
        <x:f>IF(AND('_設定'!$J$23=1,'3分入力'!$D$8&gt;0,B22='詳細設定'!$D$18),MAX('詳細設定'!$D$19,0),0)</x:f>
        <x:v>0</x:v>
      </x:c>
      <x:c r="O22" s="190" t="n">
        <x:f>K22+L22-M22-N22</x:f>
        <x:v>102518.95695608432</x:v>
      </x:c>
      <x:c r="P22" s="190" t="n">
        <x:f>P21+O22</x:f>
        <x:v>-40938.774718879344</x:v>
      </x:c>
      <x:c r="Q22" s="186" t="str">
        <x:f>IF(AND(P22&gt;=0,MIN(P22:$P$25)&gt;=0),B22,"")</x:f>
      </x:c>
      <x:c r="R22" s="196" t="n">
        <x:v>0</x:v>
      </x:c>
    </x:row>
    <x:row r="23">
      <x:c r="A23" s="20" t="str">
        <x:v>慎重</x:v>
      </x:c>
      <x:c r="B23" s="20" t="n">
        <x:v>18</x:v>
      </x:c>
      <x:c r="C23" s="188" t="n">
        <x:v>0.9</x:v>
      </x:c>
      <x:c r="D23" s="188" t="n">
        <x:v>1.1</x:v>
      </x:c>
      <x:c r="E23" s="188" t="n">
        <x:f>MAX(MIN('詳細設定'!$D$15+-0.05,1),0)</x:f>
        <x:v>0.35000000000000003</x:v>
      </x:c>
      <x:c r="F23" s="563" t="n">
        <x:f>SUM('_シナリオ月次'!$J$209:$J$220)</x:f>
        <x:v>5188.4456853003585</x:v>
      </x:c>
      <x:c r="G23" s="563" t="n">
        <x:f>SUM('_シナリオ月次'!$K$209:$K$220)</x:f>
        <x:v>1815.9559898551254</x:v>
      </x:c>
      <x:c r="H23" s="563" t="n">
        <x:f>SUM('_シナリオ月次'!$L$209:$L$220)</x:f>
        <x:v>3372.489695445232</x:v>
      </x:c>
      <x:c r="I23" s="185" t="n">
        <x:f>'_シナリオ月次'!$M$209</x:f>
        <x:v>41.45065509805275</x:v>
      </x:c>
      <x:c r="J23" s="185" t="n">
        <x:f>'_シナリオ月次'!$N$209</x:f>
        <x:v>8.3</x:v>
      </x:c>
      <x:c r="K23" s="190" t="n">
        <x:f>SUM('_シナリオ月次'!$O$209:$O$220)</x:f>
        <x:v>75272.56540872777</x:v>
      </x:c>
      <x:c r="L23" s="190" t="n">
        <x:f>SUM('_シナリオ月次'!$P$209:$P$220)</x:f>
        <x:v>27991.66447219543</x:v>
      </x:c>
      <x:c r="M23" s="190" t="n">
        <x:f>IF(AND('_設定'!$J$23=1,'3分入力'!$D$8&gt;0),MAX('詳細設定'!$D$17,0),0)</x:f>
        <x:v>0</x:v>
      </x:c>
      <x:c r="N23" s="190" t="n">
        <x:f>IF(AND('_設定'!$J$23=1,'3分入力'!$D$8&gt;0,B23='詳細設定'!$D$18),MAX('詳細設定'!$D$19,0),0)</x:f>
        <x:v>0</x:v>
      </x:c>
      <x:c r="O23" s="190" t="n">
        <x:f>K23+L23-M23-N23</x:f>
        <x:v>103264.2298809232</x:v>
      </x:c>
      <x:c r="P23" s="190" t="n">
        <x:f>P22+O23</x:f>
        <x:v>62325.45516204386</x:v>
      </x:c>
      <x:c r="Q23" s="186" t="n">
        <x:f>IF(AND(P23&gt;=0,MIN(P23:$P$25)&gt;=0),B23,"")</x:f>
        <x:v>18</x:v>
      </x:c>
      <x:c r="R23" s="196" t="n">
        <x:v>0</x:v>
      </x:c>
    </x:row>
    <x:row r="24">
      <x:c r="A24" s="20" t="str">
        <x:v>慎重</x:v>
      </x:c>
      <x:c r="B24" s="20" t="n">
        <x:v>19</x:v>
      </x:c>
      <x:c r="C24" s="188" t="n">
        <x:v>0.9</x:v>
      </x:c>
      <x:c r="D24" s="188" t="n">
        <x:v>1.1</x:v>
      </x:c>
      <x:c r="E24" s="188" t="n">
        <x:f>MAX(MIN('詳細設定'!$D$15+-0.05,1),0)</x:f>
        <x:v>0.35000000000000003</x:v>
      </x:c>
      <x:c r="F24" s="563" t="n">
        <x:f>SUM('_シナリオ月次'!$J$221:$J$232)</x:f>
        <x:v>5188.4456853003585</x:v>
      </x:c>
      <x:c r="G24" s="563" t="n">
        <x:f>SUM('_シナリオ月次'!$K$221:$K$232)</x:f>
        <x:v>1815.9559898551254</x:v>
      </x:c>
      <x:c r="H24" s="563" t="n">
        <x:f>SUM('_シナリオ月次'!$L$221:$L$232)</x:f>
        <x:v>3372.489695445232</x:v>
      </x:c>
      <x:c r="I24" s="185" t="n">
        <x:f>'_シナリオ月次'!$M$221</x:f>
        <x:v>41.865161649033276</x:v>
      </x:c>
      <x:c r="J24" s="185" t="n">
        <x:f>'_シナリオ月次'!$N$221</x:f>
        <x:v>8.3</x:v>
      </x:c>
      <x:c r="K24" s="190" t="n">
        <x:f>SUM('_シナリオ月次'!$O$221:$O$232)</x:f>
        <x:v>76025.29106281506</x:v>
      </x:c>
      <x:c r="L24" s="190" t="n">
        <x:f>SUM('_シナリオ月次'!$P$221:$P$232)</x:f>
        <x:v>27991.66447219543</x:v>
      </x:c>
      <x:c r="M24" s="190" t="n">
        <x:f>IF(AND('_設定'!$J$23=1,'3分入力'!$D$8&gt;0),MAX('詳細設定'!$D$17,0),0)</x:f>
        <x:v>0</x:v>
      </x:c>
      <x:c r="N24" s="190" t="n">
        <x:f>IF(AND('_設定'!$J$23=1,'3分入力'!$D$8&gt;0,B24='詳細設定'!$D$18),MAX('詳細設定'!$D$19,0),0)</x:f>
        <x:v>0</x:v>
      </x:c>
      <x:c r="O24" s="190" t="n">
        <x:f>K24+L24-M24-N24</x:f>
        <x:v>104016.9555350105</x:v>
      </x:c>
      <x:c r="P24" s="190" t="n">
        <x:f>P23+O24</x:f>
        <x:v>166342.41069705435</x:v>
      </x:c>
      <x:c r="Q24" s="186" t="n">
        <x:f>IF(AND(P24&gt;=0,MIN(P24:$P$25)&gt;=0),B24,"")</x:f>
        <x:v>19</x:v>
      </x:c>
      <x:c r="R24" s="196" t="n">
        <x:v>0</x:v>
      </x:c>
    </x:row>
    <x:row r="25">
      <x:c r="A25" s="20" t="str">
        <x:v>慎重</x:v>
      </x:c>
      <x:c r="B25" s="20" t="n">
        <x:v>20</x:v>
      </x:c>
      <x:c r="C25" s="188" t="n">
        <x:v>0.9</x:v>
      </x:c>
      <x:c r="D25" s="188" t="n">
        <x:v>1.1</x:v>
      </x:c>
      <x:c r="E25" s="188" t="n">
        <x:f>MAX(MIN('詳細設定'!$D$15+-0.05,1),0)</x:f>
        <x:v>0.35000000000000003</x:v>
      </x:c>
      <x:c r="F25" s="563" t="n">
        <x:f>SUM('_シナリオ月次'!$J$233:$J$244)</x:f>
        <x:v>5188.4456853003585</x:v>
      </x:c>
      <x:c r="G25" s="563" t="n">
        <x:f>SUM('_シナリオ月次'!$K$233:$K$244)</x:f>
        <x:v>1815.9559898551254</x:v>
      </x:c>
      <x:c r="H25" s="563" t="n">
        <x:f>SUM('_シナリオ月次'!$L$233:$L$244)</x:f>
        <x:v>3372.489695445232</x:v>
      </x:c>
      <x:c r="I25" s="185" t="n">
        <x:f>'_シナリオ月次'!$M$233</x:f>
        <x:v>42.283813265523605</x:v>
      </x:c>
      <x:c r="J25" s="185" t="n">
        <x:f>'_シナリオ月次'!$N$233</x:f>
        <x:v>8.3</x:v>
      </x:c>
      <x:c r="K25" s="190" t="n">
        <x:f>SUM('_シナリオ月次'!$O$233:$O$244)</x:f>
        <x:v>76785.5439734432</x:v>
      </x:c>
      <x:c r="L25" s="190" t="n">
        <x:f>SUM('_シナリオ月次'!$P$233:$P$244)</x:f>
        <x:v>27991.66447219543</x:v>
      </x:c>
      <x:c r="M25" s="190" t="n">
        <x:f>IF(AND('_設定'!$J$23=1,'3分入力'!$D$8&gt;0),MAX('詳細設定'!$D$17,0),0)</x:f>
        <x:v>0</x:v>
      </x:c>
      <x:c r="N25" s="190" t="n">
        <x:f>IF(AND('_設定'!$J$23=1,'3分入力'!$D$8&gt;0,B25='詳細設定'!$D$18),MAX('詳細設定'!$D$19,0),0)</x:f>
        <x:v>0</x:v>
      </x:c>
      <x:c r="O25" s="190" t="n">
        <x:f>K25+L25-M25-N25</x:f>
        <x:v>104777.20844563862</x:v>
      </x:c>
      <x:c r="P25" s="190" t="n">
        <x:f>P24+O25</x:f>
        <x:v>271119.619142693</x:v>
      </x:c>
      <x:c r="Q25" s="186" t="n">
        <x:f>IF(AND(P25&gt;=0,MIN(P25:$P$25)&gt;=0),B25,"")</x:f>
        <x:v>20</x:v>
      </x:c>
      <x:c r="R25" s="196" t="n">
        <x:v>0</x:v>
      </x:c>
    </x:row>
    <x:row r="26">
      <x:c r="A26" s="20" t="str">
        <x:v>標準</x:v>
      </x:c>
      <x:c r="B26" s="20" t="n">
        <x:v>0</x:v>
      </x:c>
      <x:c r="C26" s="188" t="n">
        <x:v>1</x:v>
      </x:c>
      <x:c r="D26" s="188" t="n">
        <x:v>1</x:v>
      </x:c>
      <x:c r="E26" s="188" t="n">
        <x:f>MAX(MIN('詳細設定'!$D$15+0,1),0)</x:f>
        <x:v>0.4</x:v>
      </x:c>
      <x:c r="F26" s="563" t="n">
        <x:v>0</x:v>
      </x:c>
      <x:c r="G26" s="563" t="n">
        <x:v>0</x:v>
      </x:c>
      <x:c r="H26" s="563" t="n">
        <x:v>0</x:v>
      </x:c>
      <x:c r="I26" s="185" t="n">
        <x:v>0</x:v>
      </x:c>
      <x:c r="J26" s="185" t="n">
        <x:v>0</x:v>
      </x:c>
      <x:c r="K26" s="190" t="n">
        <x:v>0</x:v>
      </x:c>
      <x:c r="L26" s="190" t="n">
        <x:v>0</x:v>
      </x:c>
      <x:c r="M26" s="190" t="n">
        <x:v>0</x:v>
      </x:c>
      <x:c r="N26" s="190" t="n">
        <x:v>0</x:v>
      </x:c>
      <x:c r="O26" s="190" t="n">
        <x:f>IF(AND('_設定'!$J$23=1,'3分入力'!$D$8&gt;0),-MAX(MAX('3分入力'!$D$14,0)*D26-MIN(MAX('3分入力'!$D$16,0),MAX('3分入力'!$D$14,0)*D26),0),0)</x:f>
        <x:v>-1500000</x:v>
      </x:c>
      <x:c r="P26" s="190" t="n">
        <x:f>O26</x:f>
        <x:v>-1500000</x:v>
      </x:c>
      <x:c r="Q26" s="186"/>
      <x:c r="R26" s="196" t="n">
        <x:f>ABS(F26-'_計算年次'!$B$5)+ABS(G26-'_計算年次'!$C$5)+ABS(H26-'_計算年次'!$D$5)+ABS(K26-'_計算年次'!$G$5)+ABS(L26-'_計算年次'!$H$5)+ABS(O26-'_計算年次'!$K$5)+ABS(P26-'_計算年次'!$L$5)</x:f>
        <x:v>0</x:v>
      </x:c>
    </x:row>
    <x:row r="27">
      <x:c r="A27" s="20" t="str">
        <x:v>標準</x:v>
      </x:c>
      <x:c r="B27" s="20" t="n">
        <x:v>1</x:v>
      </x:c>
      <x:c r="C27" s="188" t="n">
        <x:v>1</x:v>
      </x:c>
      <x:c r="D27" s="188" t="n">
        <x:v>1</x:v>
      </x:c>
      <x:c r="E27" s="188" t="n">
        <x:f>MAX(MIN('詳細設定'!$D$15+0,1),0)</x:f>
        <x:v>0.4</x:v>
      </x:c>
      <x:c r="F27" s="563" t="n">
        <x:f>SUM('_シナリオ月次'!$J$245:$J$256)</x:f>
        <x:v>5764.939650333731</x:v>
      </x:c>
      <x:c r="G27" s="563" t="n">
        <x:f>SUM('_シナリオ月次'!$K$245:$K$256)</x:f>
        <x:v>2305.9758601334925</x:v>
      </x:c>
      <x:c r="H27" s="563" t="n">
        <x:f>SUM('_シナリオ月次'!$L$245:$L$256)</x:f>
        <x:v>3458.9637902002387</x:v>
      </x:c>
      <x:c r="I27" s="185" t="n">
        <x:f>'_シナリオ月次'!$M$245</x:f>
        <x:v>35</x:v>
      </x:c>
      <x:c r="J27" s="185" t="n">
        <x:f>'_シナリオ月次'!$N$245</x:f>
        <x:v>24</x:v>
      </x:c>
      <x:c r="K27" s="190" t="n">
        <x:f>SUM('_シナリオ月次'!$O$245:$O$256)</x:f>
        <x:v>80709.15510467225</x:v>
      </x:c>
      <x:c r="L27" s="190" t="n">
        <x:f>SUM('_シナリオ月次'!$P$245:$P$256)</x:f>
        <x:v>83015.13096480572</x:v>
      </x:c>
      <x:c r="M27" s="190" t="n">
        <x:f>IF(AND('_設定'!$J$23=1,'3分入力'!$D$8&gt;0),MAX('詳細設定'!$D$17,0),0)</x:f>
        <x:v>0</x:v>
      </x:c>
      <x:c r="N27" s="190" t="n">
        <x:f>IF(AND('_設定'!$J$23=1,'3分入力'!$D$8&gt;0,B27='詳細設定'!$D$18),MAX('詳細設定'!$D$19,0),0)</x:f>
        <x:v>0</x:v>
      </x:c>
      <x:c r="O27" s="190" t="n">
        <x:f>K27+L27-M27-N27</x:f>
        <x:v>163724.28606947797</x:v>
      </x:c>
      <x:c r="P27" s="190" t="n">
        <x:f>P26+O27</x:f>
        <x:v>-1336275.713930522</x:v>
      </x:c>
      <x:c r="Q27" s="186" t="str">
        <x:f>IF(AND(P27&gt;=0,MIN(P27:$P$46)&gt;=0),B27,"")</x:f>
      </x:c>
      <x:c r="R27" s="196" t="n">
        <x:f>ABS(F27-'_計算年次'!$B$6)+ABS(G27-'_計算年次'!$C$6)+ABS(H27-'_計算年次'!$D$6)+ABS(K27-'_計算年次'!$G$6)+ABS(L27-'_計算年次'!$H$6)+ABS(O27-'_計算年次'!$K$6)+ABS(P27-'_計算年次'!$L$6)</x:f>
        <x:v>0</x:v>
      </x:c>
    </x:row>
    <x:row r="28">
      <x:c r="A28" s="20" t="str">
        <x:v>標準</x:v>
      </x:c>
      <x:c r="B28" s="20" t="n">
        <x:v>2</x:v>
      </x:c>
      <x:c r="C28" s="188" t="n">
        <x:v>1</x:v>
      </x:c>
      <x:c r="D28" s="188" t="n">
        <x:v>1</x:v>
      </x:c>
      <x:c r="E28" s="188" t="n">
        <x:f>MAX(MIN('詳細設定'!$D$15+0,1),0)</x:f>
        <x:v>0.4</x:v>
      </x:c>
      <x:c r="F28" s="563" t="n">
        <x:f>SUM('_シナリオ月次'!$J$257:$J$268)</x:f>
        <x:v>5764.939650333731</x:v>
      </x:c>
      <x:c r="G28" s="563" t="n">
        <x:f>SUM('_シナリオ月次'!$K$257:$K$268)</x:f>
        <x:v>2305.9758601334925</x:v>
      </x:c>
      <x:c r="H28" s="563" t="n">
        <x:f>SUM('_シナリオ月次'!$L$257:$L$268)</x:f>
        <x:v>3458.9637902002387</x:v>
      </x:c>
      <x:c r="I28" s="185" t="n">
        <x:f>'_シナリオ月次'!$M$257</x:f>
        <x:v>35.35</x:v>
      </x:c>
      <x:c r="J28" s="185" t="n">
        <x:f>'_シナリオ月次'!$N$257</x:f>
        <x:v>24</x:v>
      </x:c>
      <x:c r="K28" s="190" t="n">
        <x:f>SUM('_シナリオ月次'!$O$257:$O$268)</x:f>
        <x:v>81516.24665571895</x:v>
      </x:c>
      <x:c r="L28" s="190" t="n">
        <x:f>SUM('_シナリオ月次'!$P$257:$P$268)</x:f>
        <x:v>83015.13096480572</x:v>
      </x:c>
      <x:c r="M28" s="190" t="n">
        <x:f>IF(AND('_設定'!$J$23=1,'3分入力'!$D$8&gt;0),MAX('詳細設定'!$D$17,0),0)</x:f>
        <x:v>0</x:v>
      </x:c>
      <x:c r="N28" s="190" t="n">
        <x:f>IF(AND('_設定'!$J$23=1,'3分入力'!$D$8&gt;0,B28='詳細設定'!$D$18),MAX('詳細設定'!$D$19,0),0)</x:f>
        <x:v>0</x:v>
      </x:c>
      <x:c r="O28" s="190" t="n">
        <x:f>K28+L28-M28-N28</x:f>
        <x:v>164531.37762052467</x:v>
      </x:c>
      <x:c r="P28" s="190" t="n">
        <x:f>P27+O28</x:f>
        <x:v>-1171744.3363099974</x:v>
      </x:c>
      <x:c r="Q28" s="186" t="str">
        <x:f>IF(AND(P28&gt;=0,MIN(P28:$P$46)&gt;=0),B28,"")</x:f>
      </x:c>
      <x:c r="R28" s="196" t="n">
        <x:f>ABS(F28-'_計算年次'!$B$7)+ABS(G28-'_計算年次'!$C$7)+ABS(H28-'_計算年次'!$D$7)+ABS(K28-'_計算年次'!$G$7)+ABS(L28-'_計算年次'!$H$7)+ABS(O28-'_計算年次'!$K$7)+ABS(P28-'_計算年次'!$L$7)</x:f>
        <x:v>0</x:v>
      </x:c>
    </x:row>
    <x:row r="29">
      <x:c r="A29" s="20" t="str">
        <x:v>標準</x:v>
      </x:c>
      <x:c r="B29" s="20" t="n">
        <x:v>3</x:v>
      </x:c>
      <x:c r="C29" s="188" t="n">
        <x:v>1</x:v>
      </x:c>
      <x:c r="D29" s="188" t="n">
        <x:v>1</x:v>
      </x:c>
      <x:c r="E29" s="188" t="n">
        <x:f>MAX(MIN('詳細設定'!$D$15+0,1),0)</x:f>
        <x:v>0.4</x:v>
      </x:c>
      <x:c r="F29" s="563" t="n">
        <x:f>SUM('_シナリオ月次'!$J$269:$J$280)</x:f>
        <x:v>5764.939650333731</x:v>
      </x:c>
      <x:c r="G29" s="563" t="n">
        <x:f>SUM('_シナリオ月次'!$K$269:$K$280)</x:f>
        <x:v>2305.9758601334925</x:v>
      </x:c>
      <x:c r="H29" s="563" t="n">
        <x:f>SUM('_シナリオ月次'!$L$269:$L$280)</x:f>
        <x:v>3458.9637902002387</x:v>
      </x:c>
      <x:c r="I29" s="185" t="n">
        <x:f>'_シナリオ月次'!$M$269</x:f>
        <x:v>35.7035</x:v>
      </x:c>
      <x:c r="J29" s="185" t="n">
        <x:f>'_シナリオ月次'!$N$269</x:f>
        <x:v>24</x:v>
      </x:c>
      <x:c r="K29" s="190" t="n">
        <x:f>SUM('_シナリオ月次'!$O$269:$O$280)</x:f>
        <x:v>82331.40912227613</x:v>
      </x:c>
      <x:c r="L29" s="190" t="n">
        <x:f>SUM('_シナリオ月次'!$P$269:$P$280)</x:f>
        <x:v>83015.13096480572</x:v>
      </x:c>
      <x:c r="M29" s="190" t="n">
        <x:f>IF(AND('_設定'!$J$23=1,'3分入力'!$D$8&gt;0),MAX('詳細設定'!$D$17,0),0)</x:f>
        <x:v>0</x:v>
      </x:c>
      <x:c r="N29" s="190" t="n">
        <x:f>IF(AND('_設定'!$J$23=1,'3分入力'!$D$8&gt;0,B29='詳細設定'!$D$18),MAX('詳細設定'!$D$19,0),0)</x:f>
        <x:v>0</x:v>
      </x:c>
      <x:c r="O29" s="190" t="n">
        <x:f>K29+L29-M29-N29</x:f>
        <x:v>165346.54008708184</x:v>
      </x:c>
      <x:c r="P29" s="190" t="n">
        <x:f>P28+O29</x:f>
        <x:v>-1006397.7962229155</x:v>
      </x:c>
      <x:c r="Q29" s="186" t="str">
        <x:f>IF(AND(P29&gt;=0,MIN(P29:$P$46)&gt;=0),B29,"")</x:f>
      </x:c>
      <x:c r="R29" s="196" t="n">
        <x:f>ABS(F29-'_計算年次'!$B$8)+ABS(G29-'_計算年次'!$C$8)+ABS(H29-'_計算年次'!$D$8)+ABS(K29-'_計算年次'!$G$8)+ABS(L29-'_計算年次'!$H$8)+ABS(O29-'_計算年次'!$K$8)+ABS(P29-'_計算年次'!$L$8)</x:f>
        <x:v>0</x:v>
      </x:c>
    </x:row>
    <x:row r="30">
      <x:c r="A30" s="20" t="str">
        <x:v>標準</x:v>
      </x:c>
      <x:c r="B30" s="20" t="n">
        <x:v>4</x:v>
      </x:c>
      <x:c r="C30" s="188" t="n">
        <x:v>1</x:v>
      </x:c>
      <x:c r="D30" s="188" t="n">
        <x:v>1</x:v>
      </x:c>
      <x:c r="E30" s="188" t="n">
        <x:f>MAX(MIN('詳細設定'!$D$15+0,1),0)</x:f>
        <x:v>0.4</x:v>
      </x:c>
      <x:c r="F30" s="563" t="n">
        <x:f>SUM('_シナリオ月次'!$J$281:$J$292)</x:f>
        <x:v>5764.939650333731</x:v>
      </x:c>
      <x:c r="G30" s="563" t="n">
        <x:f>SUM('_シナリオ月次'!$K$281:$K$292)</x:f>
        <x:v>2305.9758601334925</x:v>
      </x:c>
      <x:c r="H30" s="563" t="n">
        <x:f>SUM('_シナリオ月次'!$L$281:$L$292)</x:f>
        <x:v>3458.9637902002387</x:v>
      </x:c>
      <x:c r="I30" s="185" t="n">
        <x:f>'_シナリオ月次'!$M$281</x:f>
        <x:v>36.060535</x:v>
      </x:c>
      <x:c r="J30" s="185" t="n">
        <x:f>'_シナリオ月次'!$N$281</x:f>
        <x:v>24</x:v>
      </x:c>
      <x:c r="K30" s="190" t="n">
        <x:f>SUM('_シナリオ月次'!$O$281:$O$292)</x:f>
        <x:v>83154.7232134989</x:v>
      </x:c>
      <x:c r="L30" s="190" t="n">
        <x:f>SUM('_シナリオ月次'!$P$281:$P$292)</x:f>
        <x:v>83015.13096480572</x:v>
      </x:c>
      <x:c r="M30" s="190" t="n">
        <x:f>IF(AND('_設定'!$J$23=1,'3分入力'!$D$8&gt;0),MAX('詳細設定'!$D$17,0),0)</x:f>
        <x:v>0</x:v>
      </x:c>
      <x:c r="N30" s="190" t="n">
        <x:f>IF(AND('_設定'!$J$23=1,'3分入力'!$D$8&gt;0,B30='詳細設定'!$D$18),MAX('詳細設定'!$D$19,0),0)</x:f>
        <x:v>0</x:v>
      </x:c>
      <x:c r="O30" s="190" t="n">
        <x:f>K30+L30-M30-N30</x:f>
        <x:v>166169.8541783046</x:v>
      </x:c>
      <x:c r="P30" s="190" t="n">
        <x:f>P29+O30</x:f>
        <x:v>-840227.9420446109</x:v>
      </x:c>
      <x:c r="Q30" s="186" t="str">
        <x:f>IF(AND(P30&gt;=0,MIN(P30:$P$46)&gt;=0),B30,"")</x:f>
      </x:c>
      <x:c r="R30" s="196" t="n">
        <x:f>ABS(F30-'_計算年次'!$B$9)+ABS(G30-'_計算年次'!$C$9)+ABS(H30-'_計算年次'!$D$9)+ABS(K30-'_計算年次'!$G$9)+ABS(L30-'_計算年次'!$H$9)+ABS(O30-'_計算年次'!$K$9)+ABS(P30-'_計算年次'!$L$9)</x:f>
        <x:v>0</x:v>
      </x:c>
    </x:row>
    <x:row r="31">
      <x:c r="A31" s="20" t="str">
        <x:v>標準</x:v>
      </x:c>
      <x:c r="B31" s="20" t="n">
        <x:v>5</x:v>
      </x:c>
      <x:c r="C31" s="188" t="n">
        <x:v>1</x:v>
      </x:c>
      <x:c r="D31" s="188" t="n">
        <x:v>1</x:v>
      </x:c>
      <x:c r="E31" s="188" t="n">
        <x:f>MAX(MIN('詳細設定'!$D$15+0,1),0)</x:f>
        <x:v>0.4</x:v>
      </x:c>
      <x:c r="F31" s="563" t="n">
        <x:f>SUM('_シナリオ月次'!$J$293:$J$304)</x:f>
        <x:v>5764.939650333731</x:v>
      </x:c>
      <x:c r="G31" s="563" t="n">
        <x:f>SUM('_シナリオ月次'!$K$293:$K$304)</x:f>
        <x:v>2305.9758601334925</x:v>
      </x:c>
      <x:c r="H31" s="563" t="n">
        <x:f>SUM('_シナリオ月次'!$L$293:$L$304)</x:f>
        <x:v>3458.9637902002387</x:v>
      </x:c>
      <x:c r="I31" s="185" t="n">
        <x:f>'_シナリオ月次'!$M$293</x:f>
        <x:v>36.42114035</x:v>
      </x:c>
      <x:c r="J31" s="185" t="n">
        <x:f>'_シナリオ月次'!$N$293</x:f>
        <x:v>8.3</x:v>
      </x:c>
      <x:c r="K31" s="190" t="n">
        <x:f>SUM('_シナリオ月次'!$O$293:$O$304)</x:f>
        <x:v>83986.2704456339</x:v>
      </x:c>
      <x:c r="L31" s="190" t="n">
        <x:f>SUM('_シナリオ月次'!$P$293:$P$304)</x:f>
        <x:v>28709.399458661974</x:v>
      </x:c>
      <x:c r="M31" s="190" t="n">
        <x:f>IF(AND('_設定'!$J$23=1,'3分入力'!$D$8&gt;0),MAX('詳細設定'!$D$17,0),0)</x:f>
        <x:v>0</x:v>
      </x:c>
      <x:c r="N31" s="190" t="n">
        <x:f>IF(AND('_設定'!$J$23=1,'3分入力'!$D$8&gt;0,B31='詳細設定'!$D$18),MAX('詳細設定'!$D$19,0),0)</x:f>
        <x:v>0</x:v>
      </x:c>
      <x:c r="O31" s="190" t="n">
        <x:f>K31+L31-M31-N31</x:f>
        <x:v>112695.66990429588</x:v>
      </x:c>
      <x:c r="P31" s="190" t="n">
        <x:f>P30+O31</x:f>
        <x:v>-727532.272140315</x:v>
      </x:c>
      <x:c r="Q31" s="186" t="str">
        <x:f>IF(AND(P31&gt;=0,MIN(P31:$P$46)&gt;=0),B31,"")</x:f>
      </x:c>
      <x:c r="R31" s="196" t="n">
        <x:f>ABS(F31-'_計算年次'!$B$10)+ABS(G31-'_計算年次'!$C$10)+ABS(H31-'_計算年次'!$D$10)+ABS(K31-'_計算年次'!$G$10)+ABS(L31-'_計算年次'!$H$10)+ABS(O31-'_計算年次'!$K$10)+ABS(P31-'_計算年次'!$L$10)</x:f>
        <x:v>0</x:v>
      </x:c>
    </x:row>
    <x:row r="32">
      <x:c r="A32" s="20" t="str">
        <x:v>標準</x:v>
      </x:c>
      <x:c r="B32" s="20" t="n">
        <x:v>6</x:v>
      </x:c>
      <x:c r="C32" s="188" t="n">
        <x:v>1</x:v>
      </x:c>
      <x:c r="D32" s="188" t="n">
        <x:v>1</x:v>
      </x:c>
      <x:c r="E32" s="188" t="n">
        <x:f>MAX(MIN('詳細設定'!$D$15+0,1),0)</x:f>
        <x:v>0.4</x:v>
      </x:c>
      <x:c r="F32" s="563" t="n">
        <x:f>SUM('_シナリオ月次'!$J$305:$J$316)</x:f>
        <x:v>5764.939650333731</x:v>
      </x:c>
      <x:c r="G32" s="563" t="n">
        <x:f>SUM('_シナリオ月次'!$K$305:$K$316)</x:f>
        <x:v>2305.9758601334925</x:v>
      </x:c>
      <x:c r="H32" s="563" t="n">
        <x:f>SUM('_シナリオ月次'!$L$305:$L$316)</x:f>
        <x:v>3458.9637902002387</x:v>
      </x:c>
      <x:c r="I32" s="185" t="n">
        <x:f>'_シナリオ月次'!$M$305</x:f>
        <x:v>36.7853517535</x:v>
      </x:c>
      <x:c r="J32" s="185" t="n">
        <x:f>'_シナリオ月次'!$N$305</x:f>
        <x:v>8.3</x:v>
      </x:c>
      <x:c r="K32" s="190" t="n">
        <x:f>SUM('_シナリオ月次'!$O$305:$O$316)</x:f>
        <x:v>84826.13315009025</x:v>
      </x:c>
      <x:c r="L32" s="190" t="n">
        <x:f>SUM('_シナリオ月次'!$P$305:$P$316)</x:f>
        <x:v>28709.399458661974</x:v>
      </x:c>
      <x:c r="M32" s="190" t="n">
        <x:f>IF(AND('_設定'!$J$23=1,'3分入力'!$D$8&gt;0),MAX('詳細設定'!$D$17,0),0)</x:f>
        <x:v>0</x:v>
      </x:c>
      <x:c r="N32" s="190" t="n">
        <x:f>IF(AND('_設定'!$J$23=1,'3分入力'!$D$8&gt;0,B32='詳細設定'!$D$18),MAX('詳細設定'!$D$19,0),0)</x:f>
        <x:v>0</x:v>
      </x:c>
      <x:c r="O32" s="190" t="n">
        <x:f>K32+L32-M32-N32</x:f>
        <x:v>113535.53260875223</x:v>
      </x:c>
      <x:c r="P32" s="190" t="n">
        <x:f>P31+O32</x:f>
        <x:v>-613996.7395315628</x:v>
      </x:c>
      <x:c r="Q32" s="186" t="str">
        <x:f>IF(AND(P32&gt;=0,MIN(P32:$P$46)&gt;=0),B32,"")</x:f>
      </x:c>
      <x:c r="R32" s="196" t="n">
        <x:f>ABS(F32-'_計算年次'!$B$11)+ABS(G32-'_計算年次'!$C$11)+ABS(H32-'_計算年次'!$D$11)+ABS(K32-'_計算年次'!$G$11)+ABS(L32-'_計算年次'!$H$11)+ABS(O32-'_計算年次'!$K$11)+ABS(P32-'_計算年次'!$L$11)</x:f>
        <x:v>0</x:v>
      </x:c>
    </x:row>
    <x:row r="33">
      <x:c r="A33" s="20" t="str">
        <x:v>標準</x:v>
      </x:c>
      <x:c r="B33" s="20" t="n">
        <x:v>7</x:v>
      </x:c>
      <x:c r="C33" s="188" t="n">
        <x:v>1</x:v>
      </x:c>
      <x:c r="D33" s="188" t="n">
        <x:v>1</x:v>
      </x:c>
      <x:c r="E33" s="188" t="n">
        <x:f>MAX(MIN('詳細設定'!$D$15+0,1),0)</x:f>
        <x:v>0.4</x:v>
      </x:c>
      <x:c r="F33" s="563" t="n">
        <x:f>SUM('_シナリオ月次'!$J$317:$J$328)</x:f>
        <x:v>5764.939650333731</x:v>
      </x:c>
      <x:c r="G33" s="563" t="n">
        <x:f>SUM('_シナリオ月次'!$K$317:$K$328)</x:f>
        <x:v>2305.9758601334925</x:v>
      </x:c>
      <x:c r="H33" s="563" t="n">
        <x:f>SUM('_シナリオ月次'!$L$317:$L$328)</x:f>
        <x:v>3458.9637902002387</x:v>
      </x:c>
      <x:c r="I33" s="185" t="n">
        <x:f>'_シナリオ月次'!$M$317</x:f>
        <x:v>37.153205271035006</x:v>
      </x:c>
      <x:c r="J33" s="185" t="n">
        <x:f>'_シナリオ月次'!$N$317</x:f>
        <x:v>8.3</x:v>
      </x:c>
      <x:c r="K33" s="190" t="n">
        <x:f>SUM('_シナリオ月次'!$O$317:$O$328)</x:f>
        <x:v>85674.39448159114</x:v>
      </x:c>
      <x:c r="L33" s="190" t="n">
        <x:f>SUM('_シナリオ月次'!$P$317:$P$328)</x:f>
        <x:v>28709.399458661974</x:v>
      </x:c>
      <x:c r="M33" s="190" t="n">
        <x:f>IF(AND('_設定'!$J$23=1,'3分入力'!$D$8&gt;0),MAX('詳細設定'!$D$17,0),0)</x:f>
        <x:v>0</x:v>
      </x:c>
      <x:c r="N33" s="190" t="n">
        <x:f>IF(AND('_設定'!$J$23=1,'3分入力'!$D$8&gt;0,B33='詳細設定'!$D$18),MAX('詳細設定'!$D$19,0),0)</x:f>
        <x:v>0</x:v>
      </x:c>
      <x:c r="O33" s="190" t="n">
        <x:f>K33+L33-M33-N33</x:f>
        <x:v>114383.79394025312</x:v>
      </x:c>
      <x:c r="P33" s="190" t="n">
        <x:f>P32+O33</x:f>
        <x:v>-499612.9455913097</x:v>
      </x:c>
      <x:c r="Q33" s="186" t="str">
        <x:f>IF(AND(P33&gt;=0,MIN(P33:$P$46)&gt;=0),B33,"")</x:f>
      </x:c>
      <x:c r="R33" s="196" t="n">
        <x:f>ABS(F33-'_計算年次'!$B$12)+ABS(G33-'_計算年次'!$C$12)+ABS(H33-'_計算年次'!$D$12)+ABS(K33-'_計算年次'!$G$12)+ABS(L33-'_計算年次'!$H$12)+ABS(O33-'_計算年次'!$K$12)+ABS(P33-'_計算年次'!$L$12)</x:f>
        <x:v>0</x:v>
      </x:c>
    </x:row>
    <x:row r="34">
      <x:c r="A34" s="20" t="str">
        <x:v>標準</x:v>
      </x:c>
      <x:c r="B34" s="20" t="n">
        <x:v>8</x:v>
      </x:c>
      <x:c r="C34" s="188" t="n">
        <x:v>1</x:v>
      </x:c>
      <x:c r="D34" s="188" t="n">
        <x:v>1</x:v>
      </x:c>
      <x:c r="E34" s="188" t="n">
        <x:f>MAX(MIN('詳細設定'!$D$15+0,1),0)</x:f>
        <x:v>0.4</x:v>
      </x:c>
      <x:c r="F34" s="563" t="n">
        <x:f>SUM('_シナリオ月次'!$J$329:$J$340)</x:f>
        <x:v>5764.939650333731</x:v>
      </x:c>
      <x:c r="G34" s="563" t="n">
        <x:f>SUM('_シナリオ月次'!$K$329:$K$340)</x:f>
        <x:v>2305.9758601334925</x:v>
      </x:c>
      <x:c r="H34" s="563" t="n">
        <x:f>SUM('_シナリオ月次'!$L$329:$L$340)</x:f>
        <x:v>3458.9637902002387</x:v>
      </x:c>
      <x:c r="I34" s="185" t="n">
        <x:f>'_シナリオ月次'!$M$329</x:f>
        <x:v>37.52473732374535</x:v>
      </x:c>
      <x:c r="J34" s="185" t="n">
        <x:f>'_シナリオ月次'!$N$329</x:f>
        <x:v>8.3</x:v>
      </x:c>
      <x:c r="K34" s="190" t="n">
        <x:f>SUM('_シナリオ月次'!$O$329:$O$340)</x:f>
        <x:v>86531.13842640704</x:v>
      </x:c>
      <x:c r="L34" s="190" t="n">
        <x:f>SUM('_シナリオ月次'!$P$329:$P$340)</x:f>
        <x:v>28709.399458661974</x:v>
      </x:c>
      <x:c r="M34" s="190" t="n">
        <x:f>IF(AND('_設定'!$J$23=1,'3分入力'!$D$8&gt;0),MAX('詳細設定'!$D$17,0),0)</x:f>
        <x:v>0</x:v>
      </x:c>
      <x:c r="N34" s="190" t="n">
        <x:f>IF(AND('_設定'!$J$23=1,'3分入力'!$D$8&gt;0,B34='詳細設定'!$D$18),MAX('詳細設定'!$D$19,0),0)</x:f>
        <x:v>0</x:v>
      </x:c>
      <x:c r="O34" s="190" t="n">
        <x:f>K34+L34-M34-N34</x:f>
        <x:v>115240.537885069</x:v>
      </x:c>
      <x:c r="P34" s="190" t="n">
        <x:f>P33+O34</x:f>
        <x:v>-384372.40770624066</x:v>
      </x:c>
      <x:c r="Q34" s="186" t="str">
        <x:f>IF(AND(P34&gt;=0,MIN(P34:$P$46)&gt;=0),B34,"")</x:f>
      </x:c>
      <x:c r="R34" s="196" t="n">
        <x:f>ABS(F34-'_計算年次'!$B$13)+ABS(G34-'_計算年次'!$C$13)+ABS(H34-'_計算年次'!$D$13)+ABS(K34-'_計算年次'!$G$13)+ABS(L34-'_計算年次'!$H$13)+ABS(O34-'_計算年次'!$K$13)+ABS(P34-'_計算年次'!$L$13)</x:f>
        <x:v>0</x:v>
      </x:c>
    </x:row>
    <x:row r="35">
      <x:c r="A35" s="20" t="str">
        <x:v>標準</x:v>
      </x:c>
      <x:c r="B35" s="20" t="n">
        <x:v>9</x:v>
      </x:c>
      <x:c r="C35" s="188" t="n">
        <x:v>1</x:v>
      </x:c>
      <x:c r="D35" s="188" t="n">
        <x:v>1</x:v>
      </x:c>
      <x:c r="E35" s="188" t="n">
        <x:f>MAX(MIN('詳細設定'!$D$15+0,1),0)</x:f>
        <x:v>0.4</x:v>
      </x:c>
      <x:c r="F35" s="563" t="n">
        <x:f>SUM('_シナリオ月次'!$J$341:$J$352)</x:f>
        <x:v>5764.939650333731</x:v>
      </x:c>
      <x:c r="G35" s="563" t="n">
        <x:f>SUM('_シナリオ月次'!$K$341:$K$352)</x:f>
        <x:v>2305.9758601334925</x:v>
      </x:c>
      <x:c r="H35" s="563" t="n">
        <x:f>SUM('_シナリオ月次'!$L$341:$L$352)</x:f>
        <x:v>3458.9637902002387</x:v>
      </x:c>
      <x:c r="I35" s="185" t="n">
        <x:f>'_シナリオ月次'!$M$341</x:f>
        <x:v>37.899984696982806</x:v>
      </x:c>
      <x:c r="J35" s="185" t="n">
        <x:f>'_シナリオ月次'!$N$341</x:f>
        <x:v>8.3</x:v>
      </x:c>
      <x:c r="K35" s="190" t="n">
        <x:f>SUM('_シナリオ月次'!$O$341:$O$352)</x:f>
        <x:v>87396.44981067113</x:v>
      </x:c>
      <x:c r="L35" s="190" t="n">
        <x:f>SUM('_シナリオ月次'!$P$341:$P$352)</x:f>
        <x:v>28709.399458661974</x:v>
      </x:c>
      <x:c r="M35" s="190" t="n">
        <x:f>IF(AND('_設定'!$J$23=1,'3分入力'!$D$8&gt;0),MAX('詳細設定'!$D$17,0),0)</x:f>
        <x:v>0</x:v>
      </x:c>
      <x:c r="N35" s="190" t="n">
        <x:f>IF(AND('_設定'!$J$23=1,'3分入力'!$D$8&gt;0,B35='詳細設定'!$D$18),MAX('詳細設定'!$D$19,0),0)</x:f>
        <x:v>0</x:v>
      </x:c>
      <x:c r="O35" s="190" t="n">
        <x:f>K35+L35-M35-N35</x:f>
        <x:v>116105.84926933309</x:v>
      </x:c>
      <x:c r="P35" s="190" t="n">
        <x:f>P34+O35</x:f>
        <x:v>-268266.5584369076</x:v>
      </x:c>
      <x:c r="Q35" s="186" t="str">
        <x:f>IF(AND(P35&gt;=0,MIN(P35:$P$46)&gt;=0),B35,"")</x:f>
      </x:c>
      <x:c r="R35" s="196" t="n">
        <x:f>ABS(F35-'_計算年次'!$B$14)+ABS(G35-'_計算年次'!$C$14)+ABS(H35-'_計算年次'!$D$14)+ABS(K35-'_計算年次'!$G$14)+ABS(L35-'_計算年次'!$H$14)+ABS(O35-'_計算年次'!$K$14)+ABS(P35-'_計算年次'!$L$14)</x:f>
        <x:v>0</x:v>
      </x:c>
    </x:row>
    <x:row r="36">
      <x:c r="A36" s="20" t="str">
        <x:v>標準</x:v>
      </x:c>
      <x:c r="B36" s="20" t="n">
        <x:v>10</x:v>
      </x:c>
      <x:c r="C36" s="188" t="n">
        <x:v>1</x:v>
      </x:c>
      <x:c r="D36" s="188" t="n">
        <x:v>1</x:v>
      </x:c>
      <x:c r="E36" s="188" t="n">
        <x:f>MAX(MIN('詳細設定'!$D$15+0,1),0)</x:f>
        <x:v>0.4</x:v>
      </x:c>
      <x:c r="F36" s="563" t="n">
        <x:f>SUM('_シナリオ月次'!$J$353:$J$364)</x:f>
        <x:v>5764.939650333731</x:v>
      </x:c>
      <x:c r="G36" s="563" t="n">
        <x:f>SUM('_シナリオ月次'!$K$353:$K$364)</x:f>
        <x:v>2305.9758601334925</x:v>
      </x:c>
      <x:c r="H36" s="563" t="n">
        <x:f>SUM('_シナリオ月次'!$L$353:$L$364)</x:f>
        <x:v>3458.9637902002387</x:v>
      </x:c>
      <x:c r="I36" s="185" t="n">
        <x:f>'_シナリオ月次'!$M$353</x:f>
        <x:v>38.27898454395263</x:v>
      </x:c>
      <x:c r="J36" s="185" t="n">
        <x:f>'_シナリオ月次'!$N$353</x:f>
        <x:v>8.3</x:v>
      </x:c>
      <x:c r="K36" s="190" t="n">
        <x:f>SUM('_シナリオ月次'!$O$353:$O$364)</x:f>
        <x:v>88270.41430877782</x:v>
      </x:c>
      <x:c r="L36" s="190" t="n">
        <x:f>SUM('_シナリオ月次'!$P$353:$P$364)</x:f>
        <x:v>28709.399458661974</x:v>
      </x:c>
      <x:c r="M36" s="190" t="n">
        <x:f>IF(AND('_設定'!$J$23=1,'3分入力'!$D$8&gt;0),MAX('詳細設定'!$D$17,0),0)</x:f>
        <x:v>0</x:v>
      </x:c>
      <x:c r="N36" s="190" t="n">
        <x:f>IF(AND('_設定'!$J$23=1,'3分入力'!$D$8&gt;0,B36='詳細設定'!$D$18),MAX('詳細設定'!$D$19,0),0)</x:f>
        <x:v>0</x:v>
      </x:c>
      <x:c r="O36" s="190" t="n">
        <x:f>K36+L36-M36-N36</x:f>
        <x:v>116979.8137674398</x:v>
      </x:c>
      <x:c r="P36" s="190" t="n">
        <x:f>P35+O36</x:f>
        <x:v>-151286.7446694678</x:v>
      </x:c>
      <x:c r="Q36" s="186" t="str">
        <x:f>IF(AND(P36&gt;=0,MIN(P36:$P$46)&gt;=0),B36,"")</x:f>
      </x:c>
      <x:c r="R36" s="196" t="n">
        <x:f>ABS(F36-'_計算年次'!$B$15)+ABS(G36-'_計算年次'!$C$15)+ABS(H36-'_計算年次'!$D$15)+ABS(K36-'_計算年次'!$G$15)+ABS(L36-'_計算年次'!$H$15)+ABS(O36-'_計算年次'!$K$15)+ABS(P36-'_計算年次'!$L$15)</x:f>
        <x:v>0</x:v>
      </x:c>
    </x:row>
    <x:row r="37">
      <x:c r="A37" s="20" t="str">
        <x:v>標準</x:v>
      </x:c>
      <x:c r="B37" s="20" t="n">
        <x:v>11</x:v>
      </x:c>
      <x:c r="C37" s="188" t="n">
        <x:v>1</x:v>
      </x:c>
      <x:c r="D37" s="188" t="n">
        <x:v>1</x:v>
      </x:c>
      <x:c r="E37" s="188" t="n">
        <x:f>MAX(MIN('詳細設定'!$D$15+0,1),0)</x:f>
        <x:v>0.4</x:v>
      </x:c>
      <x:c r="F37" s="563" t="n">
        <x:f>SUM('_シナリオ月次'!$J$365:$J$376)</x:f>
        <x:v>5764.939650333731</x:v>
      </x:c>
      <x:c r="G37" s="563" t="n">
        <x:f>SUM('_シナリオ月次'!$K$365:$K$376)</x:f>
        <x:v>2305.9758601334925</x:v>
      </x:c>
      <x:c r="H37" s="563" t="n">
        <x:f>SUM('_シナリオ月次'!$L$365:$L$376)</x:f>
        <x:v>3458.9637902002387</x:v>
      </x:c>
      <x:c r="I37" s="185" t="n">
        <x:f>'_シナリオ月次'!$M$365</x:f>
        <x:v>38.66177438939216</x:v>
      </x:c>
      <x:c r="J37" s="185" t="n">
        <x:f>'_シナリオ月次'!$N$365</x:f>
        <x:v>8.3</x:v>
      </x:c>
      <x:c r="K37" s="190" t="n">
        <x:f>SUM('_シナリオ月次'!$O$365:$O$376)</x:f>
        <x:v>89153.11845186561</x:v>
      </x:c>
      <x:c r="L37" s="190" t="n">
        <x:f>SUM('_シナリオ月次'!$P$365:$P$376)</x:f>
        <x:v>28709.399458661974</x:v>
      </x:c>
      <x:c r="M37" s="190" t="n">
        <x:f>IF(AND('_設定'!$J$23=1,'3分入力'!$D$8&gt;0),MAX('詳細設定'!$D$17,0),0)</x:f>
        <x:v>0</x:v>
      </x:c>
      <x:c r="N37" s="190" t="n">
        <x:f>IF(AND('_設定'!$J$23=1,'3分入力'!$D$8&gt;0,B37='詳細設定'!$D$18),MAX('詳細設定'!$D$19,0),0)</x:f>
        <x:v>0</x:v>
      </x:c>
      <x:c r="O37" s="190" t="n">
        <x:f>K37+L37-M37-N37</x:f>
        <x:v>117862.51791052759</x:v>
      </x:c>
      <x:c r="P37" s="190" t="n">
        <x:f>P36+O37</x:f>
        <x:v>-33424.2267589402</x:v>
      </x:c>
      <x:c r="Q37" s="186" t="str">
        <x:f>IF(AND(P37&gt;=0,MIN(P37:$P$46)&gt;=0),B37,"")</x:f>
      </x:c>
      <x:c r="R37" s="196" t="n">
        <x:f>ABS(F37-'_計算年次'!$B$16)+ABS(G37-'_計算年次'!$C$16)+ABS(H37-'_計算年次'!$D$16)+ABS(K37-'_計算年次'!$G$16)+ABS(L37-'_計算年次'!$H$16)+ABS(O37-'_計算年次'!$K$16)+ABS(P37-'_計算年次'!$L$16)</x:f>
        <x:v>0</x:v>
      </x:c>
    </x:row>
    <x:row r="38">
      <x:c r="A38" s="20" t="str">
        <x:v>標準</x:v>
      </x:c>
      <x:c r="B38" s="20" t="n">
        <x:v>12</x:v>
      </x:c>
      <x:c r="C38" s="188" t="n">
        <x:v>1</x:v>
      </x:c>
      <x:c r="D38" s="188" t="n">
        <x:v>1</x:v>
      </x:c>
      <x:c r="E38" s="188" t="n">
        <x:f>MAX(MIN('詳細設定'!$D$15+0,1),0)</x:f>
        <x:v>0.4</x:v>
      </x:c>
      <x:c r="F38" s="563" t="n">
        <x:f>SUM('_シナリオ月次'!$J$377:$J$388)</x:f>
        <x:v>5764.939650333731</x:v>
      </x:c>
      <x:c r="G38" s="563" t="n">
        <x:f>SUM('_シナリオ月次'!$K$377:$K$388)</x:f>
        <x:v>2305.9758601334925</x:v>
      </x:c>
      <x:c r="H38" s="563" t="n">
        <x:f>SUM('_シナリオ月次'!$L$377:$L$388)</x:f>
        <x:v>3458.9637902002387</x:v>
      </x:c>
      <x:c r="I38" s="185" t="n">
        <x:f>'_シナリオ月次'!$M$377</x:f>
        <x:v>39.04839213328608</x:v>
      </x:c>
      <x:c r="J38" s="185" t="n">
        <x:f>'_シナリオ月次'!$N$377</x:f>
        <x:v>8.3</x:v>
      </x:c>
      <x:c r="K38" s="190" t="n">
        <x:f>SUM('_シナリオ月次'!$O$377:$O$388)</x:f>
        <x:v>90044.64963638425</x:v>
      </x:c>
      <x:c r="L38" s="190" t="n">
        <x:f>SUM('_シナリオ月次'!$P$377:$P$388)</x:f>
        <x:v>28709.399458661974</x:v>
      </x:c>
      <x:c r="M38" s="190" t="n">
        <x:f>IF(AND('_設定'!$J$23=1,'3分入力'!$D$8&gt;0),MAX('詳細設定'!$D$17,0),0)</x:f>
        <x:v>0</x:v>
      </x:c>
      <x:c r="N38" s="190" t="n">
        <x:f>IF(AND('_設定'!$J$23=1,'3分入力'!$D$8&gt;0,B38='詳細設定'!$D$18),MAX('詳細設定'!$D$19,0),0)</x:f>
        <x:v>250000</x:v>
      </x:c>
      <x:c r="O38" s="190" t="n">
        <x:f>K38+L38-M38-N38</x:f>
        <x:v>-131245.9509049538</x:v>
      </x:c>
      <x:c r="P38" s="190" t="n">
        <x:f>P37+O38</x:f>
        <x:v>-164670.177663894</x:v>
      </x:c>
      <x:c r="Q38" s="186" t="str">
        <x:f>IF(AND(P38&gt;=0,MIN(P38:$P$46)&gt;=0),B38,"")</x:f>
      </x:c>
      <x:c r="R38" s="196" t="n">
        <x:f>ABS(F38-'_計算年次'!$B$17)+ABS(G38-'_計算年次'!$C$17)+ABS(H38-'_計算年次'!$D$17)+ABS(K38-'_計算年次'!$G$17)+ABS(L38-'_計算年次'!$H$17)+ABS(O38-'_計算年次'!$K$17)+ABS(P38-'_計算年次'!$L$17)</x:f>
        <x:v>0</x:v>
      </x:c>
    </x:row>
    <x:row r="39">
      <x:c r="A39" s="20" t="str">
        <x:v>標準</x:v>
      </x:c>
      <x:c r="B39" s="20" t="n">
        <x:v>13</x:v>
      </x:c>
      <x:c r="C39" s="188" t="n">
        <x:v>1</x:v>
      </x:c>
      <x:c r="D39" s="188" t="n">
        <x:v>1</x:v>
      </x:c>
      <x:c r="E39" s="188" t="n">
        <x:f>MAX(MIN('詳細設定'!$D$15+0,1),0)</x:f>
        <x:v>0.4</x:v>
      </x:c>
      <x:c r="F39" s="563" t="n">
        <x:f>SUM('_シナリオ月次'!$J$389:$J$400)</x:f>
        <x:v>5764.939650333731</x:v>
      </x:c>
      <x:c r="G39" s="563" t="n">
        <x:f>SUM('_シナリオ月次'!$K$389:$K$400)</x:f>
        <x:v>2305.9758601334925</x:v>
      </x:c>
      <x:c r="H39" s="563" t="n">
        <x:f>SUM('_シナリオ月次'!$L$389:$L$400)</x:f>
        <x:v>3458.9637902002387</x:v>
      </x:c>
      <x:c r="I39" s="185" t="n">
        <x:f>'_シナリオ月次'!$M$389</x:f>
        <x:v>39.438876054618945</x:v>
      </x:c>
      <x:c r="J39" s="185" t="n">
        <x:f>'_シナリオ月次'!$N$389</x:f>
        <x:v>8.3</x:v>
      </x:c>
      <x:c r="K39" s="190" t="n">
        <x:f>SUM('_シナリオ月次'!$O$389:$O$400)</x:f>
        <x:v>90945.0961327481</x:v>
      </x:c>
      <x:c r="L39" s="190" t="n">
        <x:f>SUM('_シナリオ月次'!$P$389:$P$400)</x:f>
        <x:v>28709.399458661974</x:v>
      </x:c>
      <x:c r="M39" s="190" t="n">
        <x:f>IF(AND('_設定'!$J$23=1,'3分入力'!$D$8&gt;0),MAX('詳細設定'!$D$17,0),0)</x:f>
        <x:v>0</x:v>
      </x:c>
      <x:c r="N39" s="190" t="n">
        <x:f>IF(AND('_設定'!$J$23=1,'3分入力'!$D$8&gt;0,B39='詳細設定'!$D$18),MAX('詳細設定'!$D$19,0),0)</x:f>
        <x:v>0</x:v>
      </x:c>
      <x:c r="O39" s="190" t="n">
        <x:f>K39+L39-M39-N39</x:f>
        <x:v>119654.49559141009</x:v>
      </x:c>
      <x:c r="P39" s="190" t="n">
        <x:f>P38+O39</x:f>
        <x:v>-45015.682072483905</x:v>
      </x:c>
      <x:c r="Q39" s="186" t="str">
        <x:f>IF(AND(P39&gt;=0,MIN(P39:$P$46)&gt;=0),B39,"")</x:f>
      </x:c>
      <x:c r="R39" s="196" t="n">
        <x:f>ABS(F39-'_計算年次'!$B$18)+ABS(G39-'_計算年次'!$C$18)+ABS(H39-'_計算年次'!$D$18)+ABS(K39-'_計算年次'!$G$18)+ABS(L39-'_計算年次'!$H$18)+ABS(O39-'_計算年次'!$K$18)+ABS(P39-'_計算年次'!$L$18)</x:f>
        <x:v>0</x:v>
      </x:c>
    </x:row>
    <x:row r="40">
      <x:c r="A40" s="20" t="str">
        <x:v>標準</x:v>
      </x:c>
      <x:c r="B40" s="20" t="n">
        <x:v>14</x:v>
      </x:c>
      <x:c r="C40" s="188" t="n">
        <x:v>1</x:v>
      </x:c>
      <x:c r="D40" s="188" t="n">
        <x:v>1</x:v>
      </x:c>
      <x:c r="E40" s="188" t="n">
        <x:f>MAX(MIN('詳細設定'!$D$15+0,1),0)</x:f>
        <x:v>0.4</x:v>
      </x:c>
      <x:c r="F40" s="563" t="n">
        <x:f>SUM('_シナリオ月次'!$J$401:$J$412)</x:f>
        <x:v>5764.939650333731</x:v>
      </x:c>
      <x:c r="G40" s="563" t="n">
        <x:f>SUM('_シナリオ月次'!$K$401:$K$412)</x:f>
        <x:v>2305.9758601334925</x:v>
      </x:c>
      <x:c r="H40" s="563" t="n">
        <x:f>SUM('_シナリオ月次'!$L$401:$L$412)</x:f>
        <x:v>3458.9637902002387</x:v>
      </x:c>
      <x:c r="I40" s="185" t="n">
        <x:f>'_シナリオ月次'!$M$401</x:f>
        <x:v>39.83326481516513</x:v>
      </x:c>
      <x:c r="J40" s="185" t="n">
        <x:f>'_シナリオ月次'!$N$401</x:f>
        <x:v>8.3</x:v>
      </x:c>
      <x:c r="K40" s="190" t="n">
        <x:f>SUM('_シナリオ月次'!$O$401:$O$412)</x:f>
        <x:v>91854.54709407559</x:v>
      </x:c>
      <x:c r="L40" s="190" t="n">
        <x:f>SUM('_シナリオ月次'!$P$401:$P$412)</x:f>
        <x:v>28709.399458661974</x:v>
      </x:c>
      <x:c r="M40" s="190" t="n">
        <x:f>IF(AND('_設定'!$J$23=1,'3分入力'!$D$8&gt;0),MAX('詳細設定'!$D$17,0),0)</x:f>
        <x:v>0</x:v>
      </x:c>
      <x:c r="N40" s="190" t="n">
        <x:f>IF(AND('_設定'!$J$23=1,'3分入力'!$D$8&gt;0,B40='詳細設定'!$D$18),MAX('詳細設定'!$D$19,0),0)</x:f>
        <x:v>0</x:v>
      </x:c>
      <x:c r="O40" s="190" t="n">
        <x:f>K40+L40-M40-N40</x:f>
        <x:v>120563.94655273756</x:v>
      </x:c>
      <x:c r="P40" s="190" t="n">
        <x:f>P39+O40</x:f>
        <x:v>75548.26448025365</x:v>
      </x:c>
      <x:c r="Q40" s="186" t="n">
        <x:f>IF(AND(P40&gt;=0,MIN(P40:$P$46)&gt;=0),B40,"")</x:f>
        <x:v>14</x:v>
      </x:c>
      <x:c r="R40" s="196" t="n">
        <x:f>ABS(F40-'_計算年次'!$B$19)+ABS(G40-'_計算年次'!$C$19)+ABS(H40-'_計算年次'!$D$19)+ABS(K40-'_計算年次'!$G$19)+ABS(L40-'_計算年次'!$H$19)+ABS(O40-'_計算年次'!$K$19)+ABS(P40-'_計算年次'!$L$19)</x:f>
        <x:v>0</x:v>
      </x:c>
    </x:row>
    <x:row r="41">
      <x:c r="A41" s="20" t="str">
        <x:v>標準</x:v>
      </x:c>
      <x:c r="B41" s="20" t="n">
        <x:v>15</x:v>
      </x:c>
      <x:c r="C41" s="188" t="n">
        <x:v>1</x:v>
      </x:c>
      <x:c r="D41" s="188" t="n">
        <x:v>1</x:v>
      </x:c>
      <x:c r="E41" s="188" t="n">
        <x:f>MAX(MIN('詳細設定'!$D$15+0,1),0)</x:f>
        <x:v>0.4</x:v>
      </x:c>
      <x:c r="F41" s="563" t="n">
        <x:f>SUM('_シナリオ月次'!$J$413:$J$424)</x:f>
        <x:v>5764.939650333731</x:v>
      </x:c>
      <x:c r="G41" s="563" t="n">
        <x:f>SUM('_シナリオ月次'!$K$413:$K$424)</x:f>
        <x:v>2305.9758601334925</x:v>
      </x:c>
      <x:c r="H41" s="563" t="n">
        <x:f>SUM('_シナリオ月次'!$L$413:$L$424)</x:f>
        <x:v>3458.9637902002387</x:v>
      </x:c>
      <x:c r="I41" s="185" t="n">
        <x:f>'_シナリオ月次'!$M$413</x:f>
        <x:v>40.23159746331679</x:v>
      </x:c>
      <x:c r="J41" s="185" t="n">
        <x:f>'_シナリオ月次'!$N$413</x:f>
        <x:v>8.3</x:v>
      </x:c>
      <x:c r="K41" s="190" t="n">
        <x:f>SUM('_シナリオ月次'!$O$413:$O$424)</x:f>
        <x:v>92773.09256501637</x:v>
      </x:c>
      <x:c r="L41" s="190" t="n">
        <x:f>SUM('_シナリオ月次'!$P$413:$P$424)</x:f>
        <x:v>28709.399458661974</x:v>
      </x:c>
      <x:c r="M41" s="190" t="n">
        <x:f>IF(AND('_設定'!$J$23=1,'3分入力'!$D$8&gt;0),MAX('詳細設定'!$D$17,0),0)</x:f>
        <x:v>0</x:v>
      </x:c>
      <x:c r="N41" s="190" t="n">
        <x:f>IF(AND('_設定'!$J$23=1,'3分入力'!$D$8&gt;0,B41='詳細設定'!$D$18),MAX('詳細設定'!$D$19,0),0)</x:f>
        <x:v>0</x:v>
      </x:c>
      <x:c r="O41" s="190" t="n">
        <x:f>K41+L41-M41-N41</x:f>
        <x:v>121482.49202367835</x:v>
      </x:c>
      <x:c r="P41" s="190" t="n">
        <x:f>P40+O41</x:f>
        <x:v>197030.756503932</x:v>
      </x:c>
      <x:c r="Q41" s="186" t="n">
        <x:f>IF(AND(P41&gt;=0,MIN(P41:$P$46)&gt;=0),B41,"")</x:f>
        <x:v>15</x:v>
      </x:c>
      <x:c r="R41" s="196" t="n">
        <x:f>ABS(F41-'_計算年次'!$B$20)+ABS(G41-'_計算年次'!$C$20)+ABS(H41-'_計算年次'!$D$20)+ABS(K41-'_計算年次'!$G$20)+ABS(L41-'_計算年次'!$H$20)+ABS(O41-'_計算年次'!$K$20)+ABS(P41-'_計算年次'!$L$20)</x:f>
        <x:v>0</x:v>
      </x:c>
    </x:row>
    <x:row r="42">
      <x:c r="A42" s="20" t="str">
        <x:v>標準</x:v>
      </x:c>
      <x:c r="B42" s="20" t="n">
        <x:v>16</x:v>
      </x:c>
      <x:c r="C42" s="188" t="n">
        <x:v>1</x:v>
      </x:c>
      <x:c r="D42" s="188" t="n">
        <x:v>1</x:v>
      </x:c>
      <x:c r="E42" s="188" t="n">
        <x:f>MAX(MIN('詳細設定'!$D$15+0,1),0)</x:f>
        <x:v>0.4</x:v>
      </x:c>
      <x:c r="F42" s="563" t="n">
        <x:f>SUM('_シナリオ月次'!$J$425:$J$436)</x:f>
        <x:v>5764.939650333731</x:v>
      </x:c>
      <x:c r="G42" s="563" t="n">
        <x:f>SUM('_シナリオ月次'!$K$425:$K$436)</x:f>
        <x:v>2305.9758601334925</x:v>
      </x:c>
      <x:c r="H42" s="563" t="n">
        <x:f>SUM('_シナリオ月次'!$L$425:$L$436)</x:f>
        <x:v>3458.9637902002387</x:v>
      </x:c>
      <x:c r="I42" s="185" t="n">
        <x:f>'_シナリオ月次'!$M$425</x:f>
        <x:v>40.63391343794996</x:v>
      </x:c>
      <x:c r="J42" s="185" t="n">
        <x:f>'_シナリオ月次'!$N$425</x:f>
        <x:v>8.3</x:v>
      </x:c>
      <x:c r="K42" s="190" t="n">
        <x:f>SUM('_シナリオ月次'!$O$425:$O$436)</x:f>
        <x:v>93700.82349066653</x:v>
      </x:c>
      <x:c r="L42" s="190" t="n">
        <x:f>SUM('_シナリオ月次'!$P$425:$P$436)</x:f>
        <x:v>28709.399458661974</x:v>
      </x:c>
      <x:c r="M42" s="190" t="n">
        <x:f>IF(AND('_設定'!$J$23=1,'3分入力'!$D$8&gt;0),MAX('詳細設定'!$D$17,0),0)</x:f>
        <x:v>0</x:v>
      </x:c>
      <x:c r="N42" s="190" t="n">
        <x:f>IF(AND('_設定'!$J$23=1,'3分入力'!$D$8&gt;0,B42='詳細設定'!$D$18),MAX('詳細設定'!$D$19,0),0)</x:f>
        <x:v>0</x:v>
      </x:c>
      <x:c r="O42" s="190" t="n">
        <x:f>K42+L42-M42-N42</x:f>
        <x:v>122410.22294932851</x:v>
      </x:c>
      <x:c r="P42" s="190" t="n">
        <x:f>P41+O42</x:f>
        <x:v>319440.97945326054</x:v>
      </x:c>
      <x:c r="Q42" s="186" t="n">
        <x:f>IF(AND(P42&gt;=0,MIN(P42:$P$46)&gt;=0),B42,"")</x:f>
        <x:v>16</x:v>
      </x:c>
      <x:c r="R42" s="196" t="n">
        <x:f>ABS(F42-'_計算年次'!$B$21)+ABS(G42-'_計算年次'!$C$21)+ABS(H42-'_計算年次'!$D$21)+ABS(K42-'_計算年次'!$G$21)+ABS(L42-'_計算年次'!$H$21)+ABS(O42-'_計算年次'!$K$21)+ABS(P42-'_計算年次'!$L$21)</x:f>
        <x:v>0</x:v>
      </x:c>
    </x:row>
    <x:row r="43">
      <x:c r="A43" s="20" t="str">
        <x:v>標準</x:v>
      </x:c>
      <x:c r="B43" s="20" t="n">
        <x:v>17</x:v>
      </x:c>
      <x:c r="C43" s="188" t="n">
        <x:v>1</x:v>
      </x:c>
      <x:c r="D43" s="188" t="n">
        <x:v>1</x:v>
      </x:c>
      <x:c r="E43" s="188" t="n">
        <x:f>MAX(MIN('詳細設定'!$D$15+0,1),0)</x:f>
        <x:v>0.4</x:v>
      </x:c>
      <x:c r="F43" s="563" t="n">
        <x:f>SUM('_シナリオ月次'!$J$437:$J$448)</x:f>
        <x:v>5764.939650333731</x:v>
      </x:c>
      <x:c r="G43" s="563" t="n">
        <x:f>SUM('_シナリオ月次'!$K$437:$K$448)</x:f>
        <x:v>2305.9758601334925</x:v>
      </x:c>
      <x:c r="H43" s="563" t="n">
        <x:f>SUM('_シナリオ月次'!$L$437:$L$448)</x:f>
        <x:v>3458.9637902002387</x:v>
      </x:c>
      <x:c r="I43" s="185" t="n">
        <x:f>'_シナリオ月次'!$M$437</x:f>
        <x:v>41.04025257232946</x:v>
      </x:c>
      <x:c r="J43" s="185" t="n">
        <x:f>'_シナリオ月次'!$N$437</x:f>
        <x:v>8.3</x:v>
      </x:c>
      <x:c r="K43" s="190" t="n">
        <x:f>SUM('_シナリオ月次'!$O$437:$O$448)</x:f>
        <x:v>94637.83172557317</x:v>
      </x:c>
      <x:c r="L43" s="190" t="n">
        <x:f>SUM('_シナリオ月次'!$P$437:$P$448)</x:f>
        <x:v>28709.399458661974</x:v>
      </x:c>
      <x:c r="M43" s="190" t="n">
        <x:f>IF(AND('_設定'!$J$23=1,'3分入力'!$D$8&gt;0),MAX('詳細設定'!$D$17,0),0)</x:f>
        <x:v>0</x:v>
      </x:c>
      <x:c r="N43" s="190" t="n">
        <x:f>IF(AND('_設定'!$J$23=1,'3分入力'!$D$8&gt;0,B43='詳細設定'!$D$18),MAX('詳細設定'!$D$19,0),0)</x:f>
        <x:v>0</x:v>
      </x:c>
      <x:c r="O43" s="190" t="n">
        <x:f>K43+L43-M43-N43</x:f>
        <x:v>123347.23118423513</x:v>
      </x:c>
      <x:c r="P43" s="190" t="n">
        <x:f>P42+O43</x:f>
        <x:v>442788.2106374957</x:v>
      </x:c>
      <x:c r="Q43" s="186" t="n">
        <x:f>IF(AND(P43&gt;=0,MIN(P43:$P$46)&gt;=0),B43,"")</x:f>
        <x:v>17</x:v>
      </x:c>
      <x:c r="R43" s="196" t="n">
        <x:f>ABS(F43-'_計算年次'!$B$22)+ABS(G43-'_計算年次'!$C$22)+ABS(H43-'_計算年次'!$D$22)+ABS(K43-'_計算年次'!$G$22)+ABS(L43-'_計算年次'!$H$22)+ABS(O43-'_計算年次'!$K$22)+ABS(P43-'_計算年次'!$L$22)</x:f>
        <x:v>0</x:v>
      </x:c>
    </x:row>
    <x:row r="44">
      <x:c r="A44" s="20" t="str">
        <x:v>標準</x:v>
      </x:c>
      <x:c r="B44" s="20" t="n">
        <x:v>18</x:v>
      </x:c>
      <x:c r="C44" s="188" t="n">
        <x:v>1</x:v>
      </x:c>
      <x:c r="D44" s="188" t="n">
        <x:v>1</x:v>
      </x:c>
      <x:c r="E44" s="188" t="n">
        <x:f>MAX(MIN('詳細設定'!$D$15+0,1),0)</x:f>
        <x:v>0.4</x:v>
      </x:c>
      <x:c r="F44" s="563" t="n">
        <x:f>SUM('_シナリオ月次'!$J$449:$J$460)</x:f>
        <x:v>5764.939650333731</x:v>
      </x:c>
      <x:c r="G44" s="563" t="n">
        <x:f>SUM('_シナリオ月次'!$K$449:$K$460)</x:f>
        <x:v>2305.9758601334925</x:v>
      </x:c>
      <x:c r="H44" s="563" t="n">
        <x:f>SUM('_シナリオ月次'!$L$449:$L$460)</x:f>
        <x:v>3458.9637902002387</x:v>
      </x:c>
      <x:c r="I44" s="185" t="n">
        <x:f>'_シナリオ月次'!$M$449</x:f>
        <x:v>41.45065509805275</x:v>
      </x:c>
      <x:c r="J44" s="185" t="n">
        <x:f>'_シナリオ月次'!$N$449</x:f>
        <x:v>8.3</x:v>
      </x:c>
      <x:c r="K44" s="190" t="n">
        <x:f>SUM('_シナリオ月次'!$O$449:$O$460)</x:f>
        <x:v>95584.21004282891</x:v>
      </x:c>
      <x:c r="L44" s="190" t="n">
        <x:f>SUM('_シナリオ月次'!$P$449:$P$460)</x:f>
        <x:v>28709.399458661974</x:v>
      </x:c>
      <x:c r="M44" s="190" t="n">
        <x:f>IF(AND('_設定'!$J$23=1,'3分入力'!$D$8&gt;0),MAX('詳細設定'!$D$17,0),0)</x:f>
        <x:v>0</x:v>
      </x:c>
      <x:c r="N44" s="190" t="n">
        <x:f>IF(AND('_設定'!$J$23=1,'3分入力'!$D$8&gt;0,B44='詳細設定'!$D$18),MAX('詳細設定'!$D$19,0),0)</x:f>
        <x:v>0</x:v>
      </x:c>
      <x:c r="O44" s="190" t="n">
        <x:f>K44+L44-M44-N44</x:f>
        <x:v>124293.6095014909</x:v>
      </x:c>
      <x:c r="P44" s="190" t="n">
        <x:f>P43+O44</x:f>
        <x:v>567081.8201389866</x:v>
      </x:c>
      <x:c r="Q44" s="186" t="n">
        <x:f>IF(AND(P44&gt;=0,MIN(P44:$P$46)&gt;=0),B44,"")</x:f>
        <x:v>18</x:v>
      </x:c>
      <x:c r="R44" s="196" t="n">
        <x:f>ABS(F44-'_計算年次'!$B$23)+ABS(G44-'_計算年次'!$C$23)+ABS(H44-'_計算年次'!$D$23)+ABS(K44-'_計算年次'!$G$23)+ABS(L44-'_計算年次'!$H$23)+ABS(O44-'_計算年次'!$K$23)+ABS(P44-'_計算年次'!$L$23)</x:f>
        <x:v>0</x:v>
      </x:c>
    </x:row>
    <x:row r="45">
      <x:c r="A45" s="20" t="str">
        <x:v>標準</x:v>
      </x:c>
      <x:c r="B45" s="20" t="n">
        <x:v>19</x:v>
      </x:c>
      <x:c r="C45" s="188" t="n">
        <x:v>1</x:v>
      </x:c>
      <x:c r="D45" s="188" t="n">
        <x:v>1</x:v>
      </x:c>
      <x:c r="E45" s="188" t="n">
        <x:f>MAX(MIN('詳細設定'!$D$15+0,1),0)</x:f>
        <x:v>0.4</x:v>
      </x:c>
      <x:c r="F45" s="563" t="n">
        <x:f>SUM('_シナリオ月次'!$J$461:$J$472)</x:f>
        <x:v>5764.939650333731</x:v>
      </x:c>
      <x:c r="G45" s="563" t="n">
        <x:f>SUM('_シナリオ月次'!$K$461:$K$472)</x:f>
        <x:v>2305.9758601334925</x:v>
      </x:c>
      <x:c r="H45" s="563" t="n">
        <x:f>SUM('_シナリオ月次'!$L$461:$L$472)</x:f>
        <x:v>3458.9637902002387</x:v>
      </x:c>
      <x:c r="I45" s="185" t="n">
        <x:f>'_シナリオ月次'!$M$461</x:f>
        <x:v>41.865161649033276</x:v>
      </x:c>
      <x:c r="J45" s="185" t="n">
        <x:f>'_シナリオ月次'!$N$461</x:f>
        <x:v>8.3</x:v>
      </x:c>
      <x:c r="K45" s="190" t="n">
        <x:f>SUM('_シナリオ月次'!$O$461:$O$472)</x:f>
        <x:v>96540.05214325721</x:v>
      </x:c>
      <x:c r="L45" s="190" t="n">
        <x:f>SUM('_シナリオ月次'!$P$461:$P$472)</x:f>
        <x:v>28709.399458661974</x:v>
      </x:c>
      <x:c r="M45" s="190" t="n">
        <x:f>IF(AND('_設定'!$J$23=1,'3分入力'!$D$8&gt;0),MAX('詳細設定'!$D$17,0),0)</x:f>
        <x:v>0</x:v>
      </x:c>
      <x:c r="N45" s="190" t="n">
        <x:f>IF(AND('_設定'!$J$23=1,'3分入力'!$D$8&gt;0,B45='詳細設定'!$D$18),MAX('詳細設定'!$D$19,0),0)</x:f>
        <x:v>0</x:v>
      </x:c>
      <x:c r="O45" s="190" t="n">
        <x:f>K45+L45-M45-N45</x:f>
        <x:v>125249.4516019192</x:v>
      </x:c>
      <x:c r="P45" s="190" t="n">
        <x:f>P44+O45</x:f>
        <x:v>692331.2717409057</x:v>
      </x:c>
      <x:c r="Q45" s="186" t="n">
        <x:f>IF(AND(P45&gt;=0,MIN(P45:$P$46)&gt;=0),B45,"")</x:f>
        <x:v>19</x:v>
      </x:c>
      <x:c r="R45" s="196" t="n">
        <x:f>ABS(F45-'_計算年次'!$B$24)+ABS(G45-'_計算年次'!$C$24)+ABS(H45-'_計算年次'!$D$24)+ABS(K45-'_計算年次'!$G$24)+ABS(L45-'_計算年次'!$H$24)+ABS(O45-'_計算年次'!$K$24)+ABS(P45-'_計算年次'!$L$24)</x:f>
        <x:v>0</x:v>
      </x:c>
    </x:row>
    <x:row r="46">
      <x:c r="A46" s="20" t="str">
        <x:v>標準</x:v>
      </x:c>
      <x:c r="B46" s="20" t="n">
        <x:v>20</x:v>
      </x:c>
      <x:c r="C46" s="188" t="n">
        <x:v>1</x:v>
      </x:c>
      <x:c r="D46" s="188" t="n">
        <x:v>1</x:v>
      </x:c>
      <x:c r="E46" s="188" t="n">
        <x:f>MAX(MIN('詳細設定'!$D$15+0,1),0)</x:f>
        <x:v>0.4</x:v>
      </x:c>
      <x:c r="F46" s="563" t="n">
        <x:f>SUM('_シナリオ月次'!$J$473:$J$484)</x:f>
        <x:v>5764.939650333731</x:v>
      </x:c>
      <x:c r="G46" s="563" t="n">
        <x:f>SUM('_シナリオ月次'!$K$473:$K$484)</x:f>
        <x:v>2305.9758601334925</x:v>
      </x:c>
      <x:c r="H46" s="563" t="n">
        <x:f>SUM('_シナリオ月次'!$L$473:$L$484)</x:f>
        <x:v>3458.9637902002387</x:v>
      </x:c>
      <x:c r="I46" s="185" t="n">
        <x:f>'_シナリオ月次'!$M$473</x:f>
        <x:v>42.283813265523605</x:v>
      </x:c>
      <x:c r="J46" s="185" t="n">
        <x:f>'_シナリオ月次'!$N$473</x:f>
        <x:v>8.3</x:v>
      </x:c>
      <x:c r="K46" s="190" t="n">
        <x:f>SUM('_シナリオ月次'!$O$473:$O$484)</x:f>
        <x:v>97505.45266468977</x:v>
      </x:c>
      <x:c r="L46" s="190" t="n">
        <x:f>SUM('_シナリオ月次'!$P$473:$P$484)</x:f>
        <x:v>28709.399458661974</x:v>
      </x:c>
      <x:c r="M46" s="190" t="n">
        <x:f>IF(AND('_設定'!$J$23=1,'3分入力'!$D$8&gt;0),MAX('詳細設定'!$D$17,0),0)</x:f>
        <x:v>0</x:v>
      </x:c>
      <x:c r="N46" s="190" t="n">
        <x:f>IF(AND('_設定'!$J$23=1,'3分入力'!$D$8&gt;0,B46='詳細設定'!$D$18),MAX('詳細設定'!$D$19,0),0)</x:f>
        <x:v>0</x:v>
      </x:c>
      <x:c r="O46" s="190" t="n">
        <x:f>K46+L46-M46-N46</x:f>
        <x:v>126214.85212335174</x:v>
      </x:c>
      <x:c r="P46" s="190" t="n">
        <x:f>P45+O46</x:f>
        <x:v>818546.1238642575</x:v>
      </x:c>
      <x:c r="Q46" s="186" t="n">
        <x:f>IF(AND(P46&gt;=0,MIN(P46:$P$46)&gt;=0),B46,"")</x:f>
        <x:v>20</x:v>
      </x:c>
      <x:c r="R46" s="196" t="n">
        <x:f>ABS(F46-'_計算年次'!$B$25)+ABS(G46-'_計算年次'!$C$25)+ABS(H46-'_計算年次'!$D$25)+ABS(K46-'_計算年次'!$G$25)+ABS(L46-'_計算年次'!$H$25)+ABS(O46-'_計算年次'!$K$25)+ABS(P46-'_計算年次'!$L$25)</x:f>
        <x:v>0</x:v>
      </x:c>
    </x:row>
    <x:row r="47">
      <x:c r="A47" s="20" t="str">
        <x:v>上振れ</x:v>
      </x:c>
      <x:c r="B47" s="20" t="n">
        <x:v>0</x:v>
      </x:c>
      <x:c r="C47" s="188" t="n">
        <x:v>1.1</x:v>
      </x:c>
      <x:c r="D47" s="188" t="n">
        <x:v>0.9</x:v>
      </x:c>
      <x:c r="E47" s="188" t="n">
        <x:f>MAX(MIN('詳細設定'!$D$15+0.05,1),0)</x:f>
        <x:v>0.45</x:v>
      </x:c>
      <x:c r="F47" s="563" t="n">
        <x:v>0</x:v>
      </x:c>
      <x:c r="G47" s="563" t="n">
        <x:v>0</x:v>
      </x:c>
      <x:c r="H47" s="563" t="n">
        <x:v>0</x:v>
      </x:c>
      <x:c r="I47" s="185" t="n">
        <x:v>0</x:v>
      </x:c>
      <x:c r="J47" s="185" t="n">
        <x:v>0</x:v>
      </x:c>
      <x:c r="K47" s="190" t="n">
        <x:v>0</x:v>
      </x:c>
      <x:c r="L47" s="190" t="n">
        <x:v>0</x:v>
      </x:c>
      <x:c r="M47" s="190" t="n">
        <x:v>0</x:v>
      </x:c>
      <x:c r="N47" s="190" t="n">
        <x:v>0</x:v>
      </x:c>
      <x:c r="O47" s="190" t="n">
        <x:f>IF(AND('_設定'!$J$23=1,'3分入力'!$D$8&gt;0),-MAX(MAX('3分入力'!$D$14,0)*D47-MIN(MAX('3分入力'!$D$16,0),MAX('3分入力'!$D$14,0)*D47),0),0)</x:f>
        <x:v>-1350000</x:v>
      </x:c>
      <x:c r="P47" s="190" t="n">
        <x:f>O47</x:f>
        <x:v>-1350000</x:v>
      </x:c>
      <x:c r="Q47" s="186"/>
      <x:c r="R47" s="196" t="n">
        <x:v>0</x:v>
      </x:c>
    </x:row>
    <x:row r="48">
      <x:c r="A48" s="20" t="str">
        <x:v>上振れ</x:v>
      </x:c>
      <x:c r="B48" s="20" t="n">
        <x:v>1</x:v>
      </x:c>
      <x:c r="C48" s="188" t="n">
        <x:v>1.1</x:v>
      </x:c>
      <x:c r="D48" s="188" t="n">
        <x:v>0.9</x:v>
      </x:c>
      <x:c r="E48" s="188" t="n">
        <x:f>MAX(MIN('詳細設定'!$D$15+0.05,1),0)</x:f>
        <x:v>0.45</x:v>
      </x:c>
      <x:c r="F48" s="563" t="n">
        <x:f>SUM('_シナリオ月次'!$J$485:$J$496)</x:f>
        <x:v>6341.433615367105</x:v>
      </x:c>
      <x:c r="G48" s="563" t="n">
        <x:f>SUM('_シナリオ月次'!$K$485:$K$496)</x:f>
        <x:v>2853.6451269151967</x:v>
      </x:c>
      <x:c r="H48" s="563" t="n">
        <x:f>SUM('_シナリオ月次'!$L$485:$L$496)</x:f>
        <x:v>3487.788488451907</x:v>
      </x:c>
      <x:c r="I48" s="185" t="n">
        <x:f>'_シナリオ月次'!$M$485</x:f>
        <x:v>35</x:v>
      </x:c>
      <x:c r="J48" s="185" t="n">
        <x:f>'_シナリオ月次'!$N$485</x:f>
        <x:v>24</x:v>
      </x:c>
      <x:c r="K48" s="190" t="n">
        <x:f>SUM('_シナリオ月次'!$O$485:$O$496)</x:f>
        <x:v>99877.5794420319</x:v>
      </x:c>
      <x:c r="L48" s="190" t="n">
        <x:f>SUM('_シナリオ月次'!$P$485:$P$496)</x:f>
        <x:v>83706.92372284576</x:v>
      </x:c>
      <x:c r="M48" s="190" t="n">
        <x:f>IF(AND('_設定'!$J$23=1,'3分入力'!$D$8&gt;0),MAX('詳細設定'!$D$17,0),0)</x:f>
        <x:v>0</x:v>
      </x:c>
      <x:c r="N48" s="190" t="n">
        <x:f>IF(AND('_設定'!$J$23=1,'3分入力'!$D$8&gt;0,B48='詳細設定'!$D$18),MAX('詳細設定'!$D$19,0),0)</x:f>
        <x:v>0</x:v>
      </x:c>
      <x:c r="O48" s="190" t="n">
        <x:f>K48+L48-M48-N48</x:f>
        <x:v>183584.50316487765</x:v>
      </x:c>
      <x:c r="P48" s="190" t="n">
        <x:f>P47+O48</x:f>
        <x:v>-1166415.4968351224</x:v>
      </x:c>
      <x:c r="Q48" s="186" t="str">
        <x:f>IF(AND(P48&gt;=0,MIN(P48:$P$67)&gt;=0),B48,"")</x:f>
      </x:c>
      <x:c r="R48" s="196" t="n">
        <x:v>0</x:v>
      </x:c>
    </x:row>
    <x:row r="49">
      <x:c r="A49" s="20" t="str">
        <x:v>上振れ</x:v>
      </x:c>
      <x:c r="B49" s="20" t="n">
        <x:v>2</x:v>
      </x:c>
      <x:c r="C49" s="188" t="n">
        <x:v>1.1</x:v>
      </x:c>
      <x:c r="D49" s="188" t="n">
        <x:v>0.9</x:v>
      </x:c>
      <x:c r="E49" s="188" t="n">
        <x:f>MAX(MIN('詳細設定'!$D$15+0.05,1),0)</x:f>
        <x:v>0.45</x:v>
      </x:c>
      <x:c r="F49" s="563" t="n">
        <x:f>SUM('_シナリオ月次'!$J$497:$J$508)</x:f>
        <x:v>6341.433615367105</x:v>
      </x:c>
      <x:c r="G49" s="563" t="n">
        <x:f>SUM('_シナリオ月次'!$K$497:$K$508)</x:f>
        <x:v>2853.6451269151967</x:v>
      </x:c>
      <x:c r="H49" s="563" t="n">
        <x:f>SUM('_シナリオ月次'!$L$497:$L$508)</x:f>
        <x:v>3487.788488451907</x:v>
      </x:c>
      <x:c r="I49" s="185" t="n">
        <x:f>'_シナリオ月次'!$M$497</x:f>
        <x:v>35.35</x:v>
      </x:c>
      <x:c r="J49" s="185" t="n">
        <x:f>'_シナリオ月次'!$N$497</x:f>
        <x:v>24</x:v>
      </x:c>
      <x:c r="K49" s="190" t="n">
        <x:f>SUM('_シナリオ月次'!$O$497:$O$508)</x:f>
        <x:v>100876.3552364522</x:v>
      </x:c>
      <x:c r="L49" s="190" t="n">
        <x:f>SUM('_シナリオ月次'!$P$497:$P$508)</x:f>
        <x:v>83706.92372284576</x:v>
      </x:c>
      <x:c r="M49" s="190" t="n">
        <x:f>IF(AND('_設定'!$J$23=1,'3分入力'!$D$8&gt;0),MAX('詳細設定'!$D$17,0),0)</x:f>
        <x:v>0</x:v>
      </x:c>
      <x:c r="N49" s="190" t="n">
        <x:f>IF(AND('_設定'!$J$23=1,'3分入力'!$D$8&gt;0,B49='詳細設定'!$D$18),MAX('詳細設定'!$D$19,0),0)</x:f>
        <x:v>0</x:v>
      </x:c>
      <x:c r="O49" s="190" t="n">
        <x:f>K49+L49-M49-N49</x:f>
        <x:v>184583.27895929798</x:v>
      </x:c>
      <x:c r="P49" s="190" t="n">
        <x:f>P48+O49</x:f>
        <x:v>-981832.2178758243</x:v>
      </x:c>
      <x:c r="Q49" s="186" t="str">
        <x:f>IF(AND(P49&gt;=0,MIN(P49:$P$67)&gt;=0),B49,"")</x:f>
      </x:c>
      <x:c r="R49" s="196" t="n">
        <x:v>0</x:v>
      </x:c>
    </x:row>
    <x:row r="50">
      <x:c r="A50" s="20" t="str">
        <x:v>上振れ</x:v>
      </x:c>
      <x:c r="B50" s="20" t="n">
        <x:v>3</x:v>
      </x:c>
      <x:c r="C50" s="188" t="n">
        <x:v>1.1</x:v>
      </x:c>
      <x:c r="D50" s="188" t="n">
        <x:v>0.9</x:v>
      </x:c>
      <x:c r="E50" s="188" t="n">
        <x:f>MAX(MIN('詳細設定'!$D$15+0.05,1),0)</x:f>
        <x:v>0.45</x:v>
      </x:c>
      <x:c r="F50" s="563" t="n">
        <x:f>SUM('_シナリオ月次'!$J$509:$J$520)</x:f>
        <x:v>6341.433615367105</x:v>
      </x:c>
      <x:c r="G50" s="563" t="n">
        <x:f>SUM('_シナリオ月次'!$K$509:$K$520)</x:f>
        <x:v>2853.6451269151967</x:v>
      </x:c>
      <x:c r="H50" s="563" t="n">
        <x:f>SUM('_シナリオ月次'!$L$509:$L$520)</x:f>
        <x:v>3487.788488451907</x:v>
      </x:c>
      <x:c r="I50" s="185" t="n">
        <x:f>'_シナリオ月次'!$M$509</x:f>
        <x:v>35.7035</x:v>
      </x:c>
      <x:c r="J50" s="185" t="n">
        <x:f>'_シナリオ月次'!$N$509</x:f>
        <x:v>24</x:v>
      </x:c>
      <x:c r="K50" s="190" t="n">
        <x:f>SUM('_シナリオ月次'!$O$509:$O$520)</x:f>
        <x:v>101885.11878881673</x:v>
      </x:c>
      <x:c r="L50" s="190" t="n">
        <x:f>SUM('_シナリオ月次'!$P$509:$P$520)</x:f>
        <x:v>83706.92372284576</x:v>
      </x:c>
      <x:c r="M50" s="190" t="n">
        <x:f>IF(AND('_設定'!$J$23=1,'3分入力'!$D$8&gt;0),MAX('詳細設定'!$D$17,0),0)</x:f>
        <x:v>0</x:v>
      </x:c>
      <x:c r="N50" s="190" t="n">
        <x:f>IF(AND('_設定'!$J$23=1,'3分入力'!$D$8&gt;0,B50='詳細設定'!$D$18),MAX('詳細設定'!$D$19,0),0)</x:f>
        <x:v>0</x:v>
      </x:c>
      <x:c r="O50" s="190" t="n">
        <x:f>K50+L50-M50-N50</x:f>
        <x:v>185592.0425116625</x:v>
      </x:c>
      <x:c r="P50" s="190" t="n">
        <x:f>P49+O50</x:f>
        <x:v>-796240.1753641618</x:v>
      </x:c>
      <x:c r="Q50" s="186" t="str">
        <x:f>IF(AND(P50&gt;=0,MIN(P50:$P$67)&gt;=0),B50,"")</x:f>
      </x:c>
      <x:c r="R50" s="196" t="n">
        <x:v>0</x:v>
      </x:c>
    </x:row>
    <x:row r="51">
      <x:c r="A51" s="20" t="str">
        <x:v>上振れ</x:v>
      </x:c>
      <x:c r="B51" s="20" t="n">
        <x:v>4</x:v>
      </x:c>
      <x:c r="C51" s="188" t="n">
        <x:v>1.1</x:v>
      </x:c>
      <x:c r="D51" s="188" t="n">
        <x:v>0.9</x:v>
      </x:c>
      <x:c r="E51" s="188" t="n">
        <x:f>MAX(MIN('詳細設定'!$D$15+0.05,1),0)</x:f>
        <x:v>0.45</x:v>
      </x:c>
      <x:c r="F51" s="563" t="n">
        <x:f>SUM('_シナリオ月次'!$J$521:$J$532)</x:f>
        <x:v>6341.433615367105</x:v>
      </x:c>
      <x:c r="G51" s="563" t="n">
        <x:f>SUM('_シナリオ月次'!$K$521:$K$532)</x:f>
        <x:v>2853.6451269151967</x:v>
      </x:c>
      <x:c r="H51" s="563" t="n">
        <x:f>SUM('_シナリオ月次'!$L$521:$L$532)</x:f>
        <x:v>3487.788488451907</x:v>
      </x:c>
      <x:c r="I51" s="185" t="n">
        <x:f>'_シナリオ月次'!$M$521</x:f>
        <x:v>36.060535</x:v>
      </x:c>
      <x:c r="J51" s="185" t="n">
        <x:f>'_シナリオ月次'!$N$521</x:f>
        <x:v>24</x:v>
      </x:c>
      <x:c r="K51" s="190" t="n">
        <x:f>SUM('_シナリオ月次'!$O$521:$O$532)</x:f>
        <x:v>102903.9699767049</x:v>
      </x:c>
      <x:c r="L51" s="190" t="n">
        <x:f>SUM('_シナリオ月次'!$P$521:$P$532)</x:f>
        <x:v>83706.92372284576</x:v>
      </x:c>
      <x:c r="M51" s="190" t="n">
        <x:f>IF(AND('_設定'!$J$23=1,'3分入力'!$D$8&gt;0),MAX('詳細設定'!$D$17,0),0)</x:f>
        <x:v>0</x:v>
      </x:c>
      <x:c r="N51" s="190" t="n">
        <x:f>IF(AND('_設定'!$J$23=1,'3分入力'!$D$8&gt;0,B51='詳細設定'!$D$18),MAX('詳細設定'!$D$19,0),0)</x:f>
        <x:v>0</x:v>
      </x:c>
      <x:c r="O51" s="190" t="n">
        <x:f>K51+L51-M51-N51</x:f>
        <x:v>186610.89369955065</x:v>
      </x:c>
      <x:c r="P51" s="190" t="n">
        <x:f>P50+O51</x:f>
        <x:v>-609629.2816646112</x:v>
      </x:c>
      <x:c r="Q51" s="186" t="str">
        <x:f>IF(AND(P51&gt;=0,MIN(P51:$P$67)&gt;=0),B51,"")</x:f>
      </x:c>
      <x:c r="R51" s="196" t="n">
        <x:v>0</x:v>
      </x:c>
    </x:row>
    <x:row r="52">
      <x:c r="A52" s="20" t="str">
        <x:v>上振れ</x:v>
      </x:c>
      <x:c r="B52" s="20" t="n">
        <x:v>5</x:v>
      </x:c>
      <x:c r="C52" s="188" t="n">
        <x:v>1.1</x:v>
      </x:c>
      <x:c r="D52" s="188" t="n">
        <x:v>0.9</x:v>
      </x:c>
      <x:c r="E52" s="188" t="n">
        <x:f>MAX(MIN('詳細設定'!$D$15+0.05,1),0)</x:f>
        <x:v>0.45</x:v>
      </x:c>
      <x:c r="F52" s="563" t="n">
        <x:f>SUM('_シナリオ月次'!$J$533:$J$544)</x:f>
        <x:v>6341.433615367105</x:v>
      </x:c>
      <x:c r="G52" s="563" t="n">
        <x:f>SUM('_シナリオ月次'!$K$533:$K$544)</x:f>
        <x:v>2853.6451269151967</x:v>
      </x:c>
      <x:c r="H52" s="563" t="n">
        <x:f>SUM('_シナリオ月次'!$L$533:$L$544)</x:f>
        <x:v>3487.788488451907</x:v>
      </x:c>
      <x:c r="I52" s="185" t="n">
        <x:f>'_シナリオ月次'!$M$533</x:f>
        <x:v>36.42114035</x:v>
      </x:c>
      <x:c r="J52" s="185" t="n">
        <x:f>'_シナリオ月次'!$N$533</x:f>
        <x:v>8.3</x:v>
      </x:c>
      <x:c r="K52" s="190" t="n">
        <x:f>SUM('_シナリオ月次'!$O$533:$O$544)</x:f>
        <x:v>103933.00967647196</x:v>
      </x:c>
      <x:c r="L52" s="190" t="n">
        <x:f>SUM('_シナリオ月次'!$P$533:$P$544)</x:f>
        <x:v>28948.64445415083</x:v>
      </x:c>
      <x:c r="M52" s="190" t="n">
        <x:f>IF(AND('_設定'!$J$23=1,'3分入力'!$D$8&gt;0),MAX('詳細設定'!$D$17,0),0)</x:f>
        <x:v>0</x:v>
      </x:c>
      <x:c r="N52" s="190" t="n">
        <x:f>IF(AND('_設定'!$J$23=1,'3分入力'!$D$8&gt;0,B52='詳細設定'!$D$18),MAX('詳細設定'!$D$19,0),0)</x:f>
        <x:v>0</x:v>
      </x:c>
      <x:c r="O52" s="190" t="n">
        <x:f>K52+L52-M52-N52</x:f>
        <x:v>132881.6541306228</x:v>
      </x:c>
      <x:c r="P52" s="190" t="n">
        <x:f>P51+O52</x:f>
        <x:v>-476747.6275339884</x:v>
      </x:c>
      <x:c r="Q52" s="186" t="str">
        <x:f>IF(AND(P52&gt;=0,MIN(P52:$P$67)&gt;=0),B52,"")</x:f>
      </x:c>
      <x:c r="R52" s="196" t="n">
        <x:v>0</x:v>
      </x:c>
    </x:row>
    <x:row r="53">
      <x:c r="A53" s="20" t="str">
        <x:v>上振れ</x:v>
      </x:c>
      <x:c r="B53" s="20" t="n">
        <x:v>6</x:v>
      </x:c>
      <x:c r="C53" s="188" t="n">
        <x:v>1.1</x:v>
      </x:c>
      <x:c r="D53" s="188" t="n">
        <x:v>0.9</x:v>
      </x:c>
      <x:c r="E53" s="188" t="n">
        <x:f>MAX(MIN('詳細設定'!$D$15+0.05,1),0)</x:f>
        <x:v>0.45</x:v>
      </x:c>
      <x:c r="F53" s="563" t="n">
        <x:f>SUM('_シナリオ月次'!$J$545:$J$556)</x:f>
        <x:v>6341.433615367105</x:v>
      </x:c>
      <x:c r="G53" s="563" t="n">
        <x:f>SUM('_シナリオ月次'!$K$545:$K$556)</x:f>
        <x:v>2853.6451269151967</x:v>
      </x:c>
      <x:c r="H53" s="563" t="n">
        <x:f>SUM('_シナリオ月次'!$L$545:$L$556)</x:f>
        <x:v>3487.788488451907</x:v>
      </x:c>
      <x:c r="I53" s="185" t="n">
        <x:f>'_シナリオ月次'!$M$545</x:f>
        <x:v>36.7853517535</x:v>
      </x:c>
      <x:c r="J53" s="185" t="n">
        <x:f>'_シナリオ月次'!$N$545</x:f>
        <x:v>8.3</x:v>
      </x:c>
      <x:c r="K53" s="190" t="n">
        <x:f>SUM('_シナリオ月次'!$O$545:$O$556)</x:f>
        <x:v>104972.33977323667</x:v>
      </x:c>
      <x:c r="L53" s="190" t="n">
        <x:f>SUM('_シナリオ月次'!$P$545:$P$556)</x:f>
        <x:v>28948.64445415083</x:v>
      </x:c>
      <x:c r="M53" s="190" t="n">
        <x:f>IF(AND('_設定'!$J$23=1,'3分入力'!$D$8&gt;0),MAX('詳細設定'!$D$17,0),0)</x:f>
        <x:v>0</x:v>
      </x:c>
      <x:c r="N53" s="190" t="n">
        <x:f>IF(AND('_設定'!$J$23=1,'3分入力'!$D$8&gt;0,B53='詳細設定'!$D$18),MAX('詳細設定'!$D$19,0),0)</x:f>
        <x:v>0</x:v>
      </x:c>
      <x:c r="O53" s="190" t="n">
        <x:f>K53+L53-M53-N53</x:f>
        <x:v>133920.9842273875</x:v>
      </x:c>
      <x:c r="P53" s="190" t="n">
        <x:f>P52+O53</x:f>
        <x:v>-342826.64330660086</x:v>
      </x:c>
      <x:c r="Q53" s="186" t="str">
        <x:f>IF(AND(P53&gt;=0,MIN(P53:$P$67)&gt;=0),B53,"")</x:f>
      </x:c>
      <x:c r="R53" s="196" t="n">
        <x:v>0</x:v>
      </x:c>
    </x:row>
    <x:row r="54">
      <x:c r="A54" s="20" t="str">
        <x:v>上振れ</x:v>
      </x:c>
      <x:c r="B54" s="20" t="n">
        <x:v>7</x:v>
      </x:c>
      <x:c r="C54" s="188" t="n">
        <x:v>1.1</x:v>
      </x:c>
      <x:c r="D54" s="188" t="n">
        <x:v>0.9</x:v>
      </x:c>
      <x:c r="E54" s="188" t="n">
        <x:f>MAX(MIN('詳細設定'!$D$15+0.05,1),0)</x:f>
        <x:v>0.45</x:v>
      </x:c>
      <x:c r="F54" s="563" t="n">
        <x:f>SUM('_シナリオ月次'!$J$557:$J$568)</x:f>
        <x:v>6341.433615367105</x:v>
      </x:c>
      <x:c r="G54" s="563" t="n">
        <x:f>SUM('_シナリオ月次'!$K$557:$K$568)</x:f>
        <x:v>2853.6451269151967</x:v>
      </x:c>
      <x:c r="H54" s="563" t="n">
        <x:f>SUM('_シナリオ月次'!$L$557:$L$568)</x:f>
        <x:v>3487.788488451907</x:v>
      </x:c>
      <x:c r="I54" s="185" t="n">
        <x:f>'_シナリオ月次'!$M$557</x:f>
        <x:v>37.153205271035006</x:v>
      </x:c>
      <x:c r="J54" s="185" t="n">
        <x:f>'_シナリオ月次'!$N$557</x:f>
        <x:v>8.3</x:v>
      </x:c>
      <x:c r="K54" s="190" t="n">
        <x:f>SUM('_シナリオ月次'!$O$557:$O$568)</x:f>
        <x:v>106022.06317096906</x:v>
      </x:c>
      <x:c r="L54" s="190" t="n">
        <x:f>SUM('_シナリオ月次'!$P$557:$P$568)</x:f>
        <x:v>28948.64445415083</x:v>
      </x:c>
      <x:c r="M54" s="190" t="n">
        <x:f>IF(AND('_設定'!$J$23=1,'3分入力'!$D$8&gt;0),MAX('詳細設定'!$D$17,0),0)</x:f>
        <x:v>0</x:v>
      </x:c>
      <x:c r="N54" s="190" t="n">
        <x:f>IF(AND('_設定'!$J$23=1,'3分入力'!$D$8&gt;0,B54='詳細設定'!$D$18),MAX('詳細設定'!$D$19,0),0)</x:f>
        <x:v>0</x:v>
      </x:c>
      <x:c r="O54" s="190" t="n">
        <x:f>K54+L54-M54-N54</x:f>
        <x:v>134970.7076251199</x:v>
      </x:c>
      <x:c r="P54" s="190" t="n">
        <x:f>P53+O54</x:f>
        <x:v>-207855.93568148097</x:v>
      </x:c>
      <x:c r="Q54" s="186" t="str">
        <x:f>IF(AND(P54&gt;=0,MIN(P54:$P$67)&gt;=0),B54,"")</x:f>
      </x:c>
      <x:c r="R54" s="196" t="n">
        <x:v>0</x:v>
      </x:c>
    </x:row>
    <x:row r="55">
      <x:c r="A55" s="20" t="str">
        <x:v>上振れ</x:v>
      </x:c>
      <x:c r="B55" s="20" t="n">
        <x:v>8</x:v>
      </x:c>
      <x:c r="C55" s="188" t="n">
        <x:v>1.1</x:v>
      </x:c>
      <x:c r="D55" s="188" t="n">
        <x:v>0.9</x:v>
      </x:c>
      <x:c r="E55" s="188" t="n">
        <x:f>MAX(MIN('詳細設定'!$D$15+0.05,1),0)</x:f>
        <x:v>0.45</x:v>
      </x:c>
      <x:c r="F55" s="563" t="n">
        <x:f>SUM('_シナリオ月次'!$J$569:$J$580)</x:f>
        <x:v>6341.433615367105</x:v>
      </x:c>
      <x:c r="G55" s="563" t="n">
        <x:f>SUM('_シナリオ月次'!$K$569:$K$580)</x:f>
        <x:v>2853.6451269151967</x:v>
      </x:c>
      <x:c r="H55" s="563" t="n">
        <x:f>SUM('_シナリオ月次'!$L$569:$L$580)</x:f>
        <x:v>3487.788488451907</x:v>
      </x:c>
      <x:c r="I55" s="185" t="n">
        <x:f>'_シナリオ月次'!$M$569</x:f>
        <x:v>37.52473732374535</x:v>
      </x:c>
      <x:c r="J55" s="185" t="n">
        <x:f>'_シナリオ月次'!$N$569</x:f>
        <x:v>8.3</x:v>
      </x:c>
      <x:c r="K55" s="190" t="n">
        <x:f>SUM('_シナリオ月次'!$O$569:$O$580)</x:f>
        <x:v>107082.28380267872</x:v>
      </x:c>
      <x:c r="L55" s="190" t="n">
        <x:f>SUM('_シナリオ月次'!$P$569:$P$580)</x:f>
        <x:v>28948.64445415083</x:v>
      </x:c>
      <x:c r="M55" s="190" t="n">
        <x:f>IF(AND('_設定'!$J$23=1,'3分入力'!$D$8&gt;0),MAX('詳細設定'!$D$17,0),0)</x:f>
        <x:v>0</x:v>
      </x:c>
      <x:c r="N55" s="190" t="n">
        <x:f>IF(AND('_設定'!$J$23=1,'3分入力'!$D$8&gt;0,B55='詳細設定'!$D$18),MAX('詳細設定'!$D$19,0),0)</x:f>
        <x:v>0</x:v>
      </x:c>
      <x:c r="O55" s="190" t="n">
        <x:f>K55+L55-M55-N55</x:f>
        <x:v>136030.92825682956</x:v>
      </x:c>
      <x:c r="P55" s="190" t="n">
        <x:f>P54+O55</x:f>
        <x:v>-71825.00742465141</x:v>
      </x:c>
      <x:c r="Q55" s="186" t="str">
        <x:f>IF(AND(P55&gt;=0,MIN(P55:$P$67)&gt;=0),B55,"")</x:f>
      </x:c>
      <x:c r="R55" s="196" t="n">
        <x:v>0</x:v>
      </x:c>
    </x:row>
    <x:row r="56">
      <x:c r="A56" s="20" t="str">
        <x:v>上振れ</x:v>
      </x:c>
      <x:c r="B56" s="20" t="n">
        <x:v>9</x:v>
      </x:c>
      <x:c r="C56" s="188" t="n">
        <x:v>1.1</x:v>
      </x:c>
      <x:c r="D56" s="188" t="n">
        <x:v>0.9</x:v>
      </x:c>
      <x:c r="E56" s="188" t="n">
        <x:f>MAX(MIN('詳細設定'!$D$15+0.05,1),0)</x:f>
        <x:v>0.45</x:v>
      </x:c>
      <x:c r="F56" s="563" t="n">
        <x:f>SUM('_シナリオ月次'!$J$581:$J$592)</x:f>
        <x:v>6341.433615367105</x:v>
      </x:c>
      <x:c r="G56" s="563" t="n">
        <x:f>SUM('_シナリオ月次'!$K$581:$K$592)</x:f>
        <x:v>2853.6451269151967</x:v>
      </x:c>
      <x:c r="H56" s="563" t="n">
        <x:f>SUM('_シナリオ月次'!$L$581:$L$592)</x:f>
        <x:v>3487.788488451907</x:v>
      </x:c>
      <x:c r="I56" s="185" t="n">
        <x:f>'_シナリオ月次'!$M$581</x:f>
        <x:v>37.899984696982806</x:v>
      </x:c>
      <x:c r="J56" s="185" t="n">
        <x:f>'_シナリオ月次'!$N$581</x:f>
        <x:v>8.3</x:v>
      </x:c>
      <x:c r="K56" s="190" t="n">
        <x:f>SUM('_シナリオ月次'!$O$581:$O$592)</x:f>
        <x:v>108153.10664070552</x:v>
      </x:c>
      <x:c r="L56" s="190" t="n">
        <x:f>SUM('_シナリオ月次'!$P$581:$P$592)</x:f>
        <x:v>28948.64445415083</x:v>
      </x:c>
      <x:c r="M56" s="190" t="n">
        <x:f>IF(AND('_設定'!$J$23=1,'3分入力'!$D$8&gt;0),MAX('詳細設定'!$D$17,0),0)</x:f>
        <x:v>0</x:v>
      </x:c>
      <x:c r="N56" s="190" t="n">
        <x:f>IF(AND('_設定'!$J$23=1,'3分入力'!$D$8&gt;0,B56='詳細設定'!$D$18),MAX('詳細設定'!$D$19,0),0)</x:f>
        <x:v>0</x:v>
      </x:c>
      <x:c r="O56" s="190" t="n">
        <x:f>K56+L56-M56-N56</x:f>
        <x:v>137101.75109485636</x:v>
      </x:c>
      <x:c r="P56" s="190" t="n">
        <x:f>P55+O56</x:f>
        <x:v>65276.743670204945</x:v>
      </x:c>
      <x:c r="Q56" s="186" t="n">
        <x:f>IF(AND(P56&gt;=0,MIN(P56:$P$67)&gt;=0),B56,"")</x:f>
        <x:v>9</x:v>
      </x:c>
      <x:c r="R56" s="196" t="n">
        <x:v>0</x:v>
      </x:c>
    </x:row>
    <x:row r="57">
      <x:c r="A57" s="20" t="str">
        <x:v>上振れ</x:v>
      </x:c>
      <x:c r="B57" s="20" t="n">
        <x:v>10</x:v>
      </x:c>
      <x:c r="C57" s="188" t="n">
        <x:v>1.1</x:v>
      </x:c>
      <x:c r="D57" s="188" t="n">
        <x:v>0.9</x:v>
      </x:c>
      <x:c r="E57" s="188" t="n">
        <x:f>MAX(MIN('詳細設定'!$D$15+0.05,1),0)</x:f>
        <x:v>0.45</x:v>
      </x:c>
      <x:c r="F57" s="563" t="n">
        <x:f>SUM('_シナリオ月次'!$J$593:$J$604)</x:f>
        <x:v>6341.433615367105</x:v>
      </x:c>
      <x:c r="G57" s="563" t="n">
        <x:f>SUM('_シナリオ月次'!$K$593:$K$604)</x:f>
        <x:v>2853.6451269151967</x:v>
      </x:c>
      <x:c r="H57" s="563" t="n">
        <x:f>SUM('_シナリオ月次'!$L$593:$L$604)</x:f>
        <x:v>3487.788488451907</x:v>
      </x:c>
      <x:c r="I57" s="185" t="n">
        <x:f>'_シナリオ月次'!$M$593</x:f>
        <x:v>38.27898454395263</x:v>
      </x:c>
      <x:c r="J57" s="185" t="n">
        <x:f>'_シナリオ月次'!$N$593</x:f>
        <x:v>8.3</x:v>
      </x:c>
      <x:c r="K57" s="190" t="n">
        <x:f>SUM('_シナリオ月次'!$O$593:$O$604)</x:f>
        <x:v>109234.63770711258</x:v>
      </x:c>
      <x:c r="L57" s="190" t="n">
        <x:f>SUM('_シナリオ月次'!$P$593:$P$604)</x:f>
        <x:v>28948.64445415083</x:v>
      </x:c>
      <x:c r="M57" s="190" t="n">
        <x:f>IF(AND('_設定'!$J$23=1,'3分入力'!$D$8&gt;0),MAX('詳細設定'!$D$17,0),0)</x:f>
        <x:v>0</x:v>
      </x:c>
      <x:c r="N57" s="190" t="n">
        <x:f>IF(AND('_設定'!$J$23=1,'3分入力'!$D$8&gt;0,B57='詳細設定'!$D$18),MAX('詳細設定'!$D$19,0),0)</x:f>
        <x:v>0</x:v>
      </x:c>
      <x:c r="O57" s="190" t="n">
        <x:f>K57+L57-M57-N57</x:f>
        <x:v>138183.2821612634</x:v>
      </x:c>
      <x:c r="P57" s="190" t="n">
        <x:f>P56+O57</x:f>
        <x:v>203460.02583146835</x:v>
      </x:c>
      <x:c r="Q57" s="186" t="n">
        <x:f>IF(AND(P57&gt;=0,MIN(P57:$P$67)&gt;=0),B57,"")</x:f>
        <x:v>10</x:v>
      </x:c>
      <x:c r="R57" s="196" t="n">
        <x:v>0</x:v>
      </x:c>
    </x:row>
    <x:row r="58">
      <x:c r="A58" s="20" t="str">
        <x:v>上振れ</x:v>
      </x:c>
      <x:c r="B58" s="20" t="n">
        <x:v>11</x:v>
      </x:c>
      <x:c r="C58" s="188" t="n">
        <x:v>1.1</x:v>
      </x:c>
      <x:c r="D58" s="188" t="n">
        <x:v>0.9</x:v>
      </x:c>
      <x:c r="E58" s="188" t="n">
        <x:f>MAX(MIN('詳細設定'!$D$15+0.05,1),0)</x:f>
        <x:v>0.45</x:v>
      </x:c>
      <x:c r="F58" s="563" t="n">
        <x:f>SUM('_シナリオ月次'!$J$605:$J$616)</x:f>
        <x:v>6341.433615367105</x:v>
      </x:c>
      <x:c r="G58" s="563" t="n">
        <x:f>SUM('_シナリオ月次'!$K$605:$K$616)</x:f>
        <x:v>2853.6451269151967</x:v>
      </x:c>
      <x:c r="H58" s="563" t="n">
        <x:f>SUM('_シナリオ月次'!$L$605:$L$616)</x:f>
        <x:v>3487.788488451907</x:v>
      </x:c>
      <x:c r="I58" s="185" t="n">
        <x:f>'_シナリオ月次'!$M$605</x:f>
        <x:v>38.66177438939216</x:v>
      </x:c>
      <x:c r="J58" s="185" t="n">
        <x:f>'_シナリオ月次'!$N$605</x:f>
        <x:v>8.3</x:v>
      </x:c>
      <x:c r="K58" s="190" t="n">
        <x:f>SUM('_シナリオ月次'!$O$605:$O$616)</x:f>
        <x:v>110326.98408418367</x:v>
      </x:c>
      <x:c r="L58" s="190" t="n">
        <x:f>SUM('_シナリオ月次'!$P$605:$P$616)</x:f>
        <x:v>28948.64445415083</x:v>
      </x:c>
      <x:c r="M58" s="190" t="n">
        <x:f>IF(AND('_設定'!$J$23=1,'3分入力'!$D$8&gt;0),MAX('詳細設定'!$D$17,0),0)</x:f>
        <x:v>0</x:v>
      </x:c>
      <x:c r="N58" s="190" t="n">
        <x:f>IF(AND('_設定'!$J$23=1,'3分入力'!$D$8&gt;0,B58='詳細設定'!$D$18),MAX('詳細設定'!$D$19,0),0)</x:f>
        <x:v>0</x:v>
      </x:c>
      <x:c r="O58" s="190" t="n">
        <x:f>K58+L58-M58-N58</x:f>
        <x:v>139275.6285383345</x:v>
      </x:c>
      <x:c r="P58" s="190" t="n">
        <x:f>P57+O58</x:f>
        <x:v>342735.65436980285</x:v>
      </x:c>
      <x:c r="Q58" s="186" t="n">
        <x:f>IF(AND(P58&gt;=0,MIN(P58:$P$67)&gt;=0),B58,"")</x:f>
        <x:v>11</x:v>
      </x:c>
      <x:c r="R58" s="196" t="n">
        <x:v>0</x:v>
      </x:c>
    </x:row>
    <x:row r="59">
      <x:c r="A59" s="20" t="str">
        <x:v>上振れ</x:v>
      </x:c>
      <x:c r="B59" s="20" t="n">
        <x:v>12</x:v>
      </x:c>
      <x:c r="C59" s="188" t="n">
        <x:v>1.1</x:v>
      </x:c>
      <x:c r="D59" s="188" t="n">
        <x:v>0.9</x:v>
      </x:c>
      <x:c r="E59" s="188" t="n">
        <x:f>MAX(MIN('詳細設定'!$D$15+0.05,1),0)</x:f>
        <x:v>0.45</x:v>
      </x:c>
      <x:c r="F59" s="563" t="n">
        <x:f>SUM('_シナリオ月次'!$J$617:$J$628)</x:f>
        <x:v>6341.433615367105</x:v>
      </x:c>
      <x:c r="G59" s="563" t="n">
        <x:f>SUM('_シナリオ月次'!$K$617:$K$628)</x:f>
        <x:v>2853.6451269151967</x:v>
      </x:c>
      <x:c r="H59" s="563" t="n">
        <x:f>SUM('_シナリオ月次'!$L$617:$L$628)</x:f>
        <x:v>3487.788488451907</x:v>
      </x:c>
      <x:c r="I59" s="185" t="n">
        <x:f>'_シナリオ月次'!$M$617</x:f>
        <x:v>39.04839213328608</x:v>
      </x:c>
      <x:c r="J59" s="185" t="n">
        <x:f>'_シナリオ月次'!$N$617</x:f>
        <x:v>8.3</x:v>
      </x:c>
      <x:c r="K59" s="190" t="n">
        <x:f>SUM('_シナリオ月次'!$O$617:$O$628)</x:f>
        <x:v>111430.25392502554</x:v>
      </x:c>
      <x:c r="L59" s="190" t="n">
        <x:f>SUM('_シナリオ月次'!$P$617:$P$628)</x:f>
        <x:v>28948.64445415083</x:v>
      </x:c>
      <x:c r="M59" s="190" t="n">
        <x:f>IF(AND('_設定'!$J$23=1,'3分入力'!$D$8&gt;0),MAX('詳細設定'!$D$17,0),0)</x:f>
        <x:v>0</x:v>
      </x:c>
      <x:c r="N59" s="190" t="n">
        <x:f>IF(AND('_設定'!$J$23=1,'3分入力'!$D$8&gt;0,B59='詳細設定'!$D$18),MAX('詳細設定'!$D$19,0),0)</x:f>
        <x:v>250000</x:v>
      </x:c>
      <x:c r="O59" s="190" t="n">
        <x:f>K59+L59-M59-N59</x:f>
        <x:v>-109621.10162082364</x:v>
      </x:c>
      <x:c r="P59" s="190" t="n">
        <x:f>P58+O59</x:f>
        <x:v>233114.55274897921</x:v>
      </x:c>
      <x:c r="Q59" s="186" t="n">
        <x:f>IF(AND(P59&gt;=0,MIN(P59:$P$67)&gt;=0),B59,"")</x:f>
        <x:v>12</x:v>
      </x:c>
      <x:c r="R59" s="196" t="n">
        <x:v>0</x:v>
      </x:c>
    </x:row>
    <x:row r="60">
      <x:c r="A60" s="20" t="str">
        <x:v>上振れ</x:v>
      </x:c>
      <x:c r="B60" s="20" t="n">
        <x:v>13</x:v>
      </x:c>
      <x:c r="C60" s="188" t="n">
        <x:v>1.1</x:v>
      </x:c>
      <x:c r="D60" s="188" t="n">
        <x:v>0.9</x:v>
      </x:c>
      <x:c r="E60" s="188" t="n">
        <x:f>MAX(MIN('詳細設定'!$D$15+0.05,1),0)</x:f>
        <x:v>0.45</x:v>
      </x:c>
      <x:c r="F60" s="563" t="n">
        <x:f>SUM('_シナリオ月次'!$J$629:$J$640)</x:f>
        <x:v>6341.433615367105</x:v>
      </x:c>
      <x:c r="G60" s="563" t="n">
        <x:f>SUM('_シナリオ月次'!$K$629:$K$640)</x:f>
        <x:v>2853.6451269151967</x:v>
      </x:c>
      <x:c r="H60" s="563" t="n">
        <x:f>SUM('_シナリオ月次'!$L$629:$L$640)</x:f>
        <x:v>3487.788488451907</x:v>
      </x:c>
      <x:c r="I60" s="185" t="n">
        <x:f>'_シナリオ月次'!$M$629</x:f>
        <x:v>39.438876054618945</x:v>
      </x:c>
      <x:c r="J60" s="185" t="n">
        <x:f>'_シナリオ月次'!$N$629</x:f>
        <x:v>8.3</x:v>
      </x:c>
      <x:c r="K60" s="190" t="n">
        <x:f>SUM('_シナリオ月次'!$O$629:$O$640)</x:f>
        <x:v>112544.55646427581</x:v>
      </x:c>
      <x:c r="L60" s="190" t="n">
        <x:f>SUM('_シナリオ月次'!$P$629:$P$640)</x:f>
        <x:v>28948.64445415083</x:v>
      </x:c>
      <x:c r="M60" s="190" t="n">
        <x:f>IF(AND('_設定'!$J$23=1,'3分入力'!$D$8&gt;0),MAX('詳細設定'!$D$17,0),0)</x:f>
        <x:v>0</x:v>
      </x:c>
      <x:c r="N60" s="190" t="n">
        <x:f>IF(AND('_設定'!$J$23=1,'3分入力'!$D$8&gt;0,B60='詳細設定'!$D$18),MAX('詳細設定'!$D$19,0),0)</x:f>
        <x:v>0</x:v>
      </x:c>
      <x:c r="O60" s="190" t="n">
        <x:f>K60+L60-M60-N60</x:f>
        <x:v>141493.20091842665</x:v>
      </x:c>
      <x:c r="P60" s="190" t="n">
        <x:f>P59+O60</x:f>
        <x:v>374607.75366740586</x:v>
      </x:c>
      <x:c r="Q60" s="186" t="n">
        <x:f>IF(AND(P60&gt;=0,MIN(P60:$P$67)&gt;=0),B60,"")</x:f>
        <x:v>13</x:v>
      </x:c>
      <x:c r="R60" s="196" t="n">
        <x:v>0</x:v>
      </x:c>
    </x:row>
    <x:row r="61">
      <x:c r="A61" s="20" t="str">
        <x:v>上振れ</x:v>
      </x:c>
      <x:c r="B61" s="20" t="n">
        <x:v>14</x:v>
      </x:c>
      <x:c r="C61" s="188" t="n">
        <x:v>1.1</x:v>
      </x:c>
      <x:c r="D61" s="188" t="n">
        <x:v>0.9</x:v>
      </x:c>
      <x:c r="E61" s="188" t="n">
        <x:f>MAX(MIN('詳細設定'!$D$15+0.05,1),0)</x:f>
        <x:v>0.45</x:v>
      </x:c>
      <x:c r="F61" s="563" t="n">
        <x:f>SUM('_シナリオ月次'!$J$641:$J$652)</x:f>
        <x:v>6341.433615367105</x:v>
      </x:c>
      <x:c r="G61" s="563" t="n">
        <x:f>SUM('_シナリオ月次'!$K$641:$K$652)</x:f>
        <x:v>2853.6451269151967</x:v>
      </x:c>
      <x:c r="H61" s="563" t="n">
        <x:f>SUM('_シナリオ月次'!$L$641:$L$652)</x:f>
        <x:v>3487.788488451907</x:v>
      </x:c>
      <x:c r="I61" s="185" t="n">
        <x:f>'_シナリオ月次'!$M$641</x:f>
        <x:v>39.83326481516513</x:v>
      </x:c>
      <x:c r="J61" s="185" t="n">
        <x:f>'_シナリオ月次'!$N$641</x:f>
        <x:v>8.3</x:v>
      </x:c>
      <x:c r="K61" s="190" t="n">
        <x:f>SUM('_シナリオ月次'!$O$641:$O$652)</x:f>
        <x:v>113670.00202891856</x:v>
      </x:c>
      <x:c r="L61" s="190" t="n">
        <x:f>SUM('_シナリオ月次'!$P$641:$P$652)</x:f>
        <x:v>28948.64445415083</x:v>
      </x:c>
      <x:c r="M61" s="190" t="n">
        <x:f>IF(AND('_設定'!$J$23=1,'3分入力'!$D$8&gt;0),MAX('詳細設定'!$D$17,0),0)</x:f>
        <x:v>0</x:v>
      </x:c>
      <x:c r="N61" s="190" t="n">
        <x:f>IF(AND('_設定'!$J$23=1,'3分入力'!$D$8&gt;0,B61='詳細設定'!$D$18),MAX('詳細設定'!$D$19,0),0)</x:f>
        <x:v>0</x:v>
      </x:c>
      <x:c r="O61" s="190" t="n">
        <x:f>K61+L61-M61-N61</x:f>
        <x:v>142618.6464830694</x:v>
      </x:c>
      <x:c r="P61" s="190" t="n">
        <x:f>P60+O61</x:f>
        <x:v>517226.40015047527</x:v>
      </x:c>
      <x:c r="Q61" s="186" t="n">
        <x:f>IF(AND(P61&gt;=0,MIN(P61:$P$67)&gt;=0),B61,"")</x:f>
        <x:v>14</x:v>
      </x:c>
      <x:c r="R61" s="196" t="n">
        <x:v>0</x:v>
      </x:c>
    </x:row>
    <x:row r="62">
      <x:c r="A62" s="20" t="str">
        <x:v>上振れ</x:v>
      </x:c>
      <x:c r="B62" s="20" t="n">
        <x:v>15</x:v>
      </x:c>
      <x:c r="C62" s="188" t="n">
        <x:v>1.1</x:v>
      </x:c>
      <x:c r="D62" s="188" t="n">
        <x:v>0.9</x:v>
      </x:c>
      <x:c r="E62" s="188" t="n">
        <x:f>MAX(MIN('詳細設定'!$D$15+0.05,1),0)</x:f>
        <x:v>0.45</x:v>
      </x:c>
      <x:c r="F62" s="563" t="n">
        <x:f>SUM('_シナリオ月次'!$J$653:$J$664)</x:f>
        <x:v>6341.433615367105</x:v>
      </x:c>
      <x:c r="G62" s="563" t="n">
        <x:f>SUM('_シナリオ月次'!$K$653:$K$664)</x:f>
        <x:v>2853.6451269151967</x:v>
      </x:c>
      <x:c r="H62" s="563" t="n">
        <x:f>SUM('_シナリオ月次'!$L$653:$L$664)</x:f>
        <x:v>3487.788488451907</x:v>
      </x:c>
      <x:c r="I62" s="185" t="n">
        <x:f>'_シナリオ月次'!$M$653</x:f>
        <x:v>40.23159746331679</x:v>
      </x:c>
      <x:c r="J62" s="185" t="n">
        <x:f>'_シナリオ月次'!$N$653</x:f>
        <x:v>8.3</x:v>
      </x:c>
      <x:c r="K62" s="190" t="n">
        <x:f>SUM('_シナリオ月次'!$O$653:$O$664)</x:f>
        <x:v>114806.70204920776</x:v>
      </x:c>
      <x:c r="L62" s="190" t="n">
        <x:f>SUM('_シナリオ月次'!$P$653:$P$664)</x:f>
        <x:v>28948.64445415083</x:v>
      </x:c>
      <x:c r="M62" s="190" t="n">
        <x:f>IF(AND('_設定'!$J$23=1,'3分入力'!$D$8&gt;0),MAX('詳細設定'!$D$17,0),0)</x:f>
        <x:v>0</x:v>
      </x:c>
      <x:c r="N62" s="190" t="n">
        <x:f>IF(AND('_設定'!$J$23=1,'3分入力'!$D$8&gt;0,B62='詳細設定'!$D$18),MAX('詳細設定'!$D$19,0),0)</x:f>
        <x:v>0</x:v>
      </x:c>
      <x:c r="O62" s="190" t="n">
        <x:f>K62+L62-M62-N62</x:f>
        <x:v>143755.3465033586</x:v>
      </x:c>
      <x:c r="P62" s="190" t="n">
        <x:f>P61+O62</x:f>
        <x:v>660981.7466538339</x:v>
      </x:c>
      <x:c r="Q62" s="186" t="n">
        <x:f>IF(AND(P62&gt;=0,MIN(P62:$P$67)&gt;=0),B62,"")</x:f>
        <x:v>15</x:v>
      </x:c>
      <x:c r="R62" s="196" t="n">
        <x:v>0</x:v>
      </x:c>
    </x:row>
    <x:row r="63">
      <x:c r="A63" s="20" t="str">
        <x:v>上振れ</x:v>
      </x:c>
      <x:c r="B63" s="20" t="n">
        <x:v>16</x:v>
      </x:c>
      <x:c r="C63" s="188" t="n">
        <x:v>1.1</x:v>
      </x:c>
      <x:c r="D63" s="188" t="n">
        <x:v>0.9</x:v>
      </x:c>
      <x:c r="E63" s="188" t="n">
        <x:f>MAX(MIN('詳細設定'!$D$15+0.05,1),0)</x:f>
        <x:v>0.45</x:v>
      </x:c>
      <x:c r="F63" s="563" t="n">
        <x:f>SUM('_シナリオ月次'!$J$665:$J$676)</x:f>
        <x:v>6341.433615367105</x:v>
      </x:c>
      <x:c r="G63" s="563" t="n">
        <x:f>SUM('_シナリオ月次'!$K$665:$K$676)</x:f>
        <x:v>2853.6451269151967</x:v>
      </x:c>
      <x:c r="H63" s="563" t="n">
        <x:f>SUM('_シナリオ月次'!$L$665:$L$676)</x:f>
        <x:v>3487.788488451907</x:v>
      </x:c>
      <x:c r="I63" s="185" t="n">
        <x:f>'_シナリオ月次'!$M$665</x:f>
        <x:v>40.63391343794996</x:v>
      </x:c>
      <x:c r="J63" s="185" t="n">
        <x:f>'_シナリオ月次'!$N$665</x:f>
        <x:v>8.3</x:v>
      </x:c>
      <x:c r="K63" s="190" t="n">
        <x:f>SUM('_シナリオ月次'!$O$665:$O$676)</x:f>
        <x:v>115954.76906969982</x:v>
      </x:c>
      <x:c r="L63" s="190" t="n">
        <x:f>SUM('_シナリオ月次'!$P$665:$P$676)</x:f>
        <x:v>28948.64445415083</x:v>
      </x:c>
      <x:c r="M63" s="190" t="n">
        <x:f>IF(AND('_設定'!$J$23=1,'3分入力'!$D$8&gt;0),MAX('詳細設定'!$D$17,0),0)</x:f>
        <x:v>0</x:v>
      </x:c>
      <x:c r="N63" s="190" t="n">
        <x:f>IF(AND('_設定'!$J$23=1,'3分入力'!$D$8&gt;0,B63='詳細設定'!$D$18),MAX('詳細設定'!$D$19,0),0)</x:f>
        <x:v>0</x:v>
      </x:c>
      <x:c r="O63" s="190" t="n">
        <x:f>K63+L63-M63-N63</x:f>
        <x:v>144903.41352385064</x:v>
      </x:c>
      <x:c r="P63" s="190" t="n">
        <x:f>P62+O63</x:f>
        <x:v>805885.1601776845</x:v>
      </x:c>
      <x:c r="Q63" s="186" t="n">
        <x:f>IF(AND(P63&gt;=0,MIN(P63:$P$67)&gt;=0),B63,"")</x:f>
        <x:v>16</x:v>
      </x:c>
      <x:c r="R63" s="196" t="n">
        <x:v>0</x:v>
      </x:c>
    </x:row>
    <x:row r="64">
      <x:c r="A64" s="20" t="str">
        <x:v>上振れ</x:v>
      </x:c>
      <x:c r="B64" s="20" t="n">
        <x:v>17</x:v>
      </x:c>
      <x:c r="C64" s="188" t="n">
        <x:v>1.1</x:v>
      </x:c>
      <x:c r="D64" s="188" t="n">
        <x:v>0.9</x:v>
      </x:c>
      <x:c r="E64" s="188" t="n">
        <x:f>MAX(MIN('詳細設定'!$D$15+0.05,1),0)</x:f>
        <x:v>0.45</x:v>
      </x:c>
      <x:c r="F64" s="563" t="n">
        <x:f>SUM('_シナリオ月次'!$J$677:$J$688)</x:f>
        <x:v>6341.433615367105</x:v>
      </x:c>
      <x:c r="G64" s="563" t="n">
        <x:f>SUM('_シナリオ月次'!$K$677:$K$688)</x:f>
        <x:v>2853.6451269151967</x:v>
      </x:c>
      <x:c r="H64" s="563" t="n">
        <x:f>SUM('_シナリオ月次'!$L$677:$L$688)</x:f>
        <x:v>3487.788488451907</x:v>
      </x:c>
      <x:c r="I64" s="185" t="n">
        <x:f>'_シナリオ月次'!$M$677</x:f>
        <x:v>41.04025257232946</x:v>
      </x:c>
      <x:c r="J64" s="185" t="n">
        <x:f>'_シナリオ月次'!$N$677</x:f>
        <x:v>8.3</x:v>
      </x:c>
      <x:c r="K64" s="190" t="n">
        <x:f>SUM('_シナリオ月次'!$O$677:$O$688)</x:f>
        <x:v>117114.31676039685</x:v>
      </x:c>
      <x:c r="L64" s="190" t="n">
        <x:f>SUM('_シナリオ月次'!$P$677:$P$688)</x:f>
        <x:v>28948.64445415083</x:v>
      </x:c>
      <x:c r="M64" s="190" t="n">
        <x:f>IF(AND('_設定'!$J$23=1,'3分入力'!$D$8&gt;0),MAX('詳細設定'!$D$17,0),0)</x:f>
        <x:v>0</x:v>
      </x:c>
      <x:c r="N64" s="190" t="n">
        <x:f>IF(AND('_設定'!$J$23=1,'3分入力'!$D$8&gt;0,B64='詳細設定'!$D$18),MAX('詳細設定'!$D$19,0),0)</x:f>
        <x:v>0</x:v>
      </x:c>
      <x:c r="O64" s="190" t="n">
        <x:f>K64+L64-M64-N64</x:f>
        <x:v>146062.9612145477</x:v>
      </x:c>
      <x:c r="P64" s="190" t="n">
        <x:f>P63+O64</x:f>
        <x:v>951948.1213922321</x:v>
      </x:c>
      <x:c r="Q64" s="186" t="n">
        <x:f>IF(AND(P64&gt;=0,MIN(P64:$P$67)&gt;=0),B64,"")</x:f>
        <x:v>17</x:v>
      </x:c>
      <x:c r="R64" s="196" t="n">
        <x:v>0</x:v>
      </x:c>
    </x:row>
    <x:row r="65">
      <x:c r="A65" s="20" t="str">
        <x:v>上振れ</x:v>
      </x:c>
      <x:c r="B65" s="20" t="n">
        <x:v>18</x:v>
      </x:c>
      <x:c r="C65" s="188" t="n">
        <x:v>1.1</x:v>
      </x:c>
      <x:c r="D65" s="188" t="n">
        <x:v>0.9</x:v>
      </x:c>
      <x:c r="E65" s="188" t="n">
        <x:f>MAX(MIN('詳細設定'!$D$15+0.05,1),0)</x:f>
        <x:v>0.45</x:v>
      </x:c>
      <x:c r="F65" s="563" t="n">
        <x:f>SUM('_シナリオ月次'!$J$689:$J$700)</x:f>
        <x:v>6341.433615367105</x:v>
      </x:c>
      <x:c r="G65" s="563" t="n">
        <x:f>SUM('_シナリオ月次'!$K$689:$K$700)</x:f>
        <x:v>2853.6451269151967</x:v>
      </x:c>
      <x:c r="H65" s="563" t="n">
        <x:f>SUM('_シナリオ月次'!$L$689:$L$700)</x:f>
        <x:v>3487.788488451907</x:v>
      </x:c>
      <x:c r="I65" s="185" t="n">
        <x:f>'_シナリオ月次'!$M$689</x:f>
        <x:v>41.45065509805275</x:v>
      </x:c>
      <x:c r="J65" s="185" t="n">
        <x:f>'_シナリオ月次'!$N$689</x:f>
        <x:v>8.3</x:v>
      </x:c>
      <x:c r="K65" s="190" t="n">
        <x:f>SUM('_シナリオ月次'!$O$689:$O$700)</x:f>
        <x:v>118285.45992800081</x:v>
      </x:c>
      <x:c r="L65" s="190" t="n">
        <x:f>SUM('_シナリオ月次'!$P$689:$P$700)</x:f>
        <x:v>28948.64445415083</x:v>
      </x:c>
      <x:c r="M65" s="190" t="n">
        <x:f>IF(AND('_設定'!$J$23=1,'3分入力'!$D$8&gt;0),MAX('詳細設定'!$D$17,0),0)</x:f>
        <x:v>0</x:v>
      </x:c>
      <x:c r="N65" s="190" t="n">
        <x:f>IF(AND('_設定'!$J$23=1,'3分入力'!$D$8&gt;0,B65='詳細設定'!$D$18),MAX('詳細設定'!$D$19,0),0)</x:f>
        <x:v>0</x:v>
      </x:c>
      <x:c r="O65" s="190" t="n">
        <x:f>K65+L65-M65-N65</x:f>
        <x:v>147234.10438215165</x:v>
      </x:c>
      <x:c r="P65" s="190" t="n">
        <x:f>P64+O65</x:f>
        <x:v>1099182.2257743839</x:v>
      </x:c>
      <x:c r="Q65" s="186" t="n">
        <x:f>IF(AND(P65&gt;=0,MIN(P65:$P$67)&gt;=0),B65,"")</x:f>
        <x:v>18</x:v>
      </x:c>
      <x:c r="R65" s="196" t="n">
        <x:v>0</x:v>
      </x:c>
    </x:row>
    <x:row r="66">
      <x:c r="A66" s="20" t="str">
        <x:v>上振れ</x:v>
      </x:c>
      <x:c r="B66" s="20" t="n">
        <x:v>19</x:v>
      </x:c>
      <x:c r="C66" s="188" t="n">
        <x:v>1.1</x:v>
      </x:c>
      <x:c r="D66" s="188" t="n">
        <x:v>0.9</x:v>
      </x:c>
      <x:c r="E66" s="188" t="n">
        <x:f>MAX(MIN('詳細設定'!$D$15+0.05,1),0)</x:f>
        <x:v>0.45</x:v>
      </x:c>
      <x:c r="F66" s="563" t="n">
        <x:f>SUM('_シナリオ月次'!$J$701:$J$712)</x:f>
        <x:v>6341.433615367105</x:v>
      </x:c>
      <x:c r="G66" s="563" t="n">
        <x:f>SUM('_シナリオ月次'!$K$701:$K$712)</x:f>
        <x:v>2853.6451269151967</x:v>
      </x:c>
      <x:c r="H66" s="563" t="n">
        <x:f>SUM('_シナリオ月次'!$L$701:$L$712)</x:f>
        <x:v>3487.788488451907</x:v>
      </x:c>
      <x:c r="I66" s="185" t="n">
        <x:f>'_シナリオ月次'!$M$701</x:f>
        <x:v>41.865161649033276</x:v>
      </x:c>
      <x:c r="J66" s="185" t="n">
        <x:f>'_シナリオ月次'!$N$701</x:f>
        <x:v>8.3</x:v>
      </x:c>
      <x:c r="K66" s="190" t="n">
        <x:f>SUM('_シナリオ月次'!$O$701:$O$712)</x:f>
        <x:v>119468.31452728077</x:v>
      </x:c>
      <x:c r="L66" s="190" t="n">
        <x:f>SUM('_シナリオ月次'!$P$701:$P$712)</x:f>
        <x:v>28948.64445415083</x:v>
      </x:c>
      <x:c r="M66" s="190" t="n">
        <x:f>IF(AND('_設定'!$J$23=1,'3分入力'!$D$8&gt;0),MAX('詳細設定'!$D$17,0),0)</x:f>
        <x:v>0</x:v>
      </x:c>
      <x:c r="N66" s="190" t="n">
        <x:f>IF(AND('_設定'!$J$23=1,'3分入力'!$D$8&gt;0,B66='詳細設定'!$D$18),MAX('詳細設定'!$D$19,0),0)</x:f>
        <x:v>0</x:v>
      </x:c>
      <x:c r="O66" s="190" t="n">
        <x:f>K66+L66-M66-N66</x:f>
        <x:v>148416.9589814316</x:v>
      </x:c>
      <x:c r="P66" s="190" t="n">
        <x:f>P65+O66</x:f>
        <x:v>1247599.1847558154</x:v>
      </x:c>
      <x:c r="Q66" s="186" t="n">
        <x:f>IF(AND(P66&gt;=0,MIN(P66:$P$67)&gt;=0),B66,"")</x:f>
        <x:v>19</x:v>
      </x:c>
      <x:c r="R66" s="196" t="n">
        <x:v>0</x:v>
      </x:c>
    </x:row>
    <x:row r="67">
      <x:c r="A67" s="20" t="str">
        <x:v>上振れ</x:v>
      </x:c>
      <x:c r="B67" s="20" t="n">
        <x:v>20</x:v>
      </x:c>
      <x:c r="C67" s="188" t="n">
        <x:v>1.1</x:v>
      </x:c>
      <x:c r="D67" s="188" t="n">
        <x:v>0.9</x:v>
      </x:c>
      <x:c r="E67" s="188" t="n">
        <x:f>MAX(MIN('詳細設定'!$D$15+0.05,1),0)</x:f>
        <x:v>0.45</x:v>
      </x:c>
      <x:c r="F67" s="563" t="n">
        <x:f>SUM('_シナリオ月次'!$J$713:$J$724)</x:f>
        <x:v>6341.433615367105</x:v>
      </x:c>
      <x:c r="G67" s="563" t="n">
        <x:f>SUM('_シナリオ月次'!$K$713:$K$724)</x:f>
        <x:v>2853.6451269151967</x:v>
      </x:c>
      <x:c r="H67" s="563" t="n">
        <x:f>SUM('_シナリオ月次'!$L$713:$L$724)</x:f>
        <x:v>3487.788488451907</x:v>
      </x:c>
      <x:c r="I67" s="185" t="n">
        <x:f>'_シナリオ月次'!$M$713</x:f>
        <x:v>42.283813265523605</x:v>
      </x:c>
      <x:c r="J67" s="185" t="n">
        <x:f>'_シナリオ月次'!$N$713</x:f>
        <x:v>8.3</x:v>
      </x:c>
      <x:c r="K67" s="190" t="n">
        <x:f>SUM('_シナリオ月次'!$O$713:$O$724)</x:f>
        <x:v>120662.99767255357</x:v>
      </x:c>
      <x:c r="L67" s="190" t="n">
        <x:f>SUM('_シナリオ月次'!$P$713:$P$724)</x:f>
        <x:v>28948.64445415083</x:v>
      </x:c>
      <x:c r="M67" s="190" t="n">
        <x:f>IF(AND('_設定'!$J$23=1,'3分入力'!$D$8&gt;0),MAX('詳細設定'!$D$17,0),0)</x:f>
        <x:v>0</x:v>
      </x:c>
      <x:c r="N67" s="190" t="n">
        <x:f>IF(AND('_設定'!$J$23=1,'3分入力'!$D$8&gt;0,B67='詳細設定'!$D$18),MAX('詳細設定'!$D$19,0),0)</x:f>
        <x:v>0</x:v>
      </x:c>
      <x:c r="O67" s="190" t="n">
        <x:f>K67+L67-M67-N67</x:f>
        <x:v>149611.6421267044</x:v>
      </x:c>
      <x:c r="P67" s="190" t="n">
        <x:f>P66+O67</x:f>
        <x:v>1397210.8268825198</x:v>
      </x:c>
      <x:c r="Q67" s="186" t="n">
        <x:f>IF(AND(P67&gt;=0,MIN(P67:$P$67)&gt;=0),B67,"")</x:f>
        <x:v>20</x:v>
      </x:c>
      <x:c r="R67" s="196" t="n">
        <x:v>0</x:v>
      </x:c>
    </x:row>
    <x:row r="68">
      <x:c r="A68" s="527"/>
      <x:c r="B68" s="527"/>
      <x:c r="C68" s="527"/>
      <x:c r="D68" s="527"/>
      <x:c r="E68" s="527"/>
      <x:c r="F68" s="527"/>
      <x:c r="G68" s="527"/>
      <x:c r="H68" s="527"/>
      <x:c r="I68" s="527"/>
      <x:c r="J68" s="527"/>
      <x:c r="K68" s="527"/>
      <x:c r="L68" s="527"/>
      <x:c r="M68" s="527"/>
      <x:c r="N68" s="527"/>
      <x:c r="O68" s="527"/>
      <x:c r="P68" s="527"/>
      <x:c r="Q68" s="527"/>
      <x:c r="R68" s="527"/>
    </x:row>
    <x:row r="69">
      <x:c r="A69" s="527"/>
      <x:c r="B69" s="527"/>
      <x:c r="C69" s="527"/>
      <x:c r="D69" s="527"/>
      <x:c r="E69" s="527"/>
      <x:c r="F69" s="527"/>
      <x:c r="G69" s="527"/>
      <x:c r="H69" s="527"/>
      <x:c r="I69" s="527"/>
      <x:c r="J69" s="527"/>
      <x:c r="K69" s="527"/>
      <x:c r="L69" s="527"/>
      <x:c r="M69" s="527"/>
      <x:c r="N69" s="527"/>
      <x:c r="O69" s="527"/>
      <x:c r="P69" s="527"/>
      <x:c r="Q69" s="527"/>
      <x:c r="R69" s="527"/>
    </x:row>
  </x:sheetData>
  <x:sheetProtection sheet="1" objects="0" scenarios="1" formatCells="1" formatColumns="1" formatRows="1" insertColumns="1" insertRows="1" insertHyperlinks="1" deleteColumns="1" deleteRows="1" selectLockedCells="0" selectUnlockedCells="0"/>
  <x:mergeCells>
    <x:mergeCell ref="A1:R2"/>
    <x:mergeCell ref="A3:R3"/>
  </x:mergeCells>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5" max="5" width="18" hidden="0" customWidth="1"/>
    <x:col min="6" max="6" width="18" hidden="0" customWidth="1"/>
    <x:col min="8" max="8" width="18" hidden="0" customWidth="1"/>
    <x:col min="9" max="9" width="58" hidden="0" customWidth="1"/>
    <x:col min="10" max="10" width="18" hidden="0" customWidth="1"/>
  </x:cols>
  <x:sheetData>
    <x:row r="1">
      <x:c r="A1" s="526" t="str">
        <x:v>内部設定｜編集時は計算影響を確認</x:v>
      </x:c>
      <x:c r="B1" s="526"/>
      <x:c r="C1" s="526"/>
      <x:c r="D1" s="526"/>
      <x:c r="E1" s="526"/>
      <x:c r="F1" s="526"/>
      <x:c r="G1" s="526"/>
      <x:c r="H1" s="526"/>
      <x:c r="I1" s="526"/>
      <x:c r="J1" s="526"/>
    </x:row>
    <x:row r="2">
      <x:c r="A2" s="526"/>
      <x:c r="B2" s="526"/>
      <x:c r="C2" s="526"/>
      <x:c r="D2" s="526"/>
      <x:c r="E2" s="526"/>
      <x:c r="F2" s="526"/>
      <x:c r="G2" s="526"/>
      <x:c r="H2" s="526"/>
      <x:c r="I2" s="526"/>
      <x:c r="J2" s="526"/>
    </x:row>
    <x:row r="3">
      <x:c r="A3" s="8" t="str">
        <x:v>需要配分・在宅パターン・CTA URLを一元管理しています。URLに個人情報は含めません。</x:v>
      </x:c>
      <x:c r="B3" s="8"/>
      <x:c r="C3" s="8"/>
      <x:c r="D3" s="8"/>
      <x:c r="E3" s="8"/>
      <x:c r="F3" s="8"/>
      <x:c r="G3" s="8"/>
      <x:c r="H3" s="8"/>
      <x:c r="I3" s="8"/>
      <x:c r="J3" s="8"/>
    </x:row>
    <x:row r="4">
      <x:c r="A4" s="527"/>
      <x:c r="B4" s="527"/>
      <x:c r="C4" s="527"/>
      <x:c r="D4" s="527"/>
      <x:c r="E4" s="527"/>
      <x:c r="F4" s="527"/>
      <x:c r="G4" s="527"/>
      <x:c r="H4" s="527"/>
      <x:c r="I4" s="527"/>
      <x:c r="J4" s="527"/>
    </x:row>
    <x:row r="5" ht="22" customHeight="1">
      <x:c r="A5" s="13" t="str">
        <x:v>月番号</x:v>
      </x:c>
      <x:c r="B5" s="13" t="str">
        <x:v>月</x:v>
      </x:c>
      <x:c r="C5" s="13" t="str">
        <x:v>年間需要配分</x:v>
      </x:c>
      <x:c r="D5" s="527"/>
      <x:c r="E5" s="13" t="str">
        <x:v>日中の在宅パターン</x:v>
      </x:c>
      <x:c r="F5" s="13" t="str">
        <x:v>概算自家消費率</x:v>
      </x:c>
      <x:c r="G5" s="527"/>
      <x:c r="H5" s="13" t="str">
        <x:v>CTA</x:v>
      </x:c>
      <x:c r="I5" s="13" t="str">
        <x:v>URL</x:v>
      </x:c>
      <x:c r="J5" s="13" t="str">
        <x:v>用途</x:v>
      </x:c>
    </x:row>
    <x:row r="6" ht="22" customHeight="1">
      <x:c r="A6" s="20" t="n">
        <x:v>1</x:v>
      </x:c>
      <x:c r="B6" s="20" t="str">
        <x:v>1月</x:v>
      </x:c>
      <x:c r="C6" s="188" t="n">
        <x:v>0.1</x:v>
      </x:c>
      <x:c r="D6" s="527"/>
      <x:c r="E6" s="20" t="str">
        <x:v>日中不在</x:v>
      </x:c>
      <x:c r="F6" s="188" t="n">
        <x:v>0.3</x:v>
      </x:c>
      <x:c r="G6" s="527"/>
      <x:c r="H6" s="20" t="str">
        <x:v>販売施工店紹介</x:v>
      </x:c>
      <x:c r="I6" s="20" t="str">
        <x:v>https://www.enegaeru.com/simulation-soudan?utm_source=enegaeru_excel&amp;utm_medium=owned_asset&amp;utm_campaign=household_pv_excel&amp;utm_content=household_referral_v1</x:v>
      </x:c>
      <x:c r="J6" s="20" t="str">
        <x:v>家庭</x:v>
      </x:c>
    </x:row>
    <x:row r="7" ht="22" customHeight="1">
      <x:c r="A7" s="20" t="n">
        <x:v>2</x:v>
      </x:c>
      <x:c r="B7" s="20" t="str">
        <x:v>2月</x:v>
      </x:c>
      <x:c r="C7" s="188" t="n">
        <x:v>0.09</x:v>
      </x:c>
      <x:c r="D7" s="527"/>
      <x:c r="E7" s="20" t="str">
        <x:v>一部在宅</x:v>
      </x:c>
      <x:c r="F7" s="188" t="n">
        <x:v>0.4</x:v>
      </x:c>
      <x:c r="G7" s="527"/>
      <x:c r="H7" s="20" t="str">
        <x:v>プロダクトツアー</x:v>
      </x:c>
      <x:c r="I7" s="20" t="str">
        <x:v>https://www.enegaeru.com/product-demo?utm_source=enegaeru_excel&amp;utm_medium=owned_asset&amp;utm_campaign=household_pv_excel&amp;utm_content=seller_product_tour_v1</x:v>
      </x:c>
      <x:c r="J7" s="20" t="str">
        <x:v>事業者</x:v>
      </x:c>
    </x:row>
    <x:row r="8" ht="22" customHeight="1">
      <x:c r="A8" s="20" t="n">
        <x:v>3</x:v>
      </x:c>
      <x:c r="B8" s="20" t="str">
        <x:v>3月</x:v>
      </x:c>
      <x:c r="C8" s="188" t="n">
        <x:v>0.08</x:v>
      </x:c>
      <x:c r="D8" s="527"/>
      <x:c r="E8" s="20" t="str">
        <x:v>在宅中心</x:v>
      </x:c>
      <x:c r="F8" s="188" t="n">
        <x:v>0.5</x:v>
      </x:c>
      <x:c r="G8" s="527"/>
      <x:c r="H8" s="20" t="str">
        <x:v>料金・無料トライアル</x:v>
      </x:c>
      <x:c r="I8" s="20" t="str">
        <x:v>https://www.enegaeru.com/price?utm_source=enegaeru_excel&amp;utm_medium=owned_asset&amp;utm_campaign=household_pv_excel&amp;utm_content=seller_trial_pricing_v1</x:v>
      </x:c>
      <x:c r="J8" s="20" t="str">
        <x:v>事業者</x:v>
      </x:c>
    </x:row>
    <x:row r="9" ht="22" customHeight="1">
      <x:c r="A9" s="20" t="n">
        <x:v>4</x:v>
      </x:c>
      <x:c r="B9" s="20" t="str">
        <x:v>4月</x:v>
      </x:c>
      <x:c r="C9" s="188" t="n">
        <x:v>0.07</x:v>
      </x:c>
      <x:c r="D9" s="527"/>
      <x:c r="E9" s="527"/>
      <x:c r="F9" s="527"/>
      <x:c r="G9" s="527"/>
      <x:c r="H9" s="527"/>
      <x:c r="I9" s="527"/>
      <x:c r="J9" s="527"/>
    </x:row>
    <x:row r="10" ht="22" customHeight="1">
      <x:c r="A10" s="20" t="n">
        <x:v>5</x:v>
      </x:c>
      <x:c r="B10" s="20" t="str">
        <x:v>5月</x:v>
      </x:c>
      <x:c r="C10" s="188" t="n">
        <x:v>0.07</x:v>
      </x:c>
      <x:c r="D10" s="527"/>
      <x:c r="E10" s="527"/>
      <x:c r="F10" s="527"/>
      <x:c r="G10" s="527"/>
      <x:c r="H10" s="527"/>
      <x:c r="I10" s="527"/>
      <x:c r="J10" s="527"/>
    </x:row>
    <x:row r="11" ht="22" customHeight="1">
      <x:c r="A11" s="20" t="n">
        <x:v>6</x:v>
      </x:c>
      <x:c r="B11" s="20" t="str">
        <x:v>6月</x:v>
      </x:c>
      <x:c r="C11" s="188" t="n">
        <x:v>0.08</x:v>
      </x:c>
      <x:c r="D11" s="527"/>
      <x:c r="E11" s="593" t="str">
        <x:v>無料Excelとエネがえる全プロダクトの役割分担</x:v>
      </x:c>
      <x:c r="F11" s="527"/>
      <x:c r="G11" s="527"/>
      <x:c r="H11" s="527"/>
      <x:c r="I11" s="527"/>
      <x:c r="J11" s="527"/>
    </x:row>
    <x:row r="12" ht="22" customHeight="1">
      <x:c r="A12" s="20" t="n">
        <x:v>7</x:v>
      </x:c>
      <x:c r="B12" s="20" t="str">
        <x:v>7月</x:v>
      </x:c>
      <x:c r="C12" s="188" t="n">
        <x:v>0.09</x:v>
      </x:c>
      <x:c r="D12" s="527"/>
      <x:c r="E12" s="20" t="str">
        <x:v>無料Excel</x:v>
      </x:c>
      <x:c r="F12" s="20" t="str">
        <x:v>1住宅・太陽光のみ・都道府県庁等代表点・南30°の初期概算</x:v>
      </x:c>
      <x:c r="G12" s="20"/>
      <x:c r="H12" s="20"/>
      <x:c r="I12" s="20"/>
      <x:c r="J12" s="20"/>
    </x:row>
    <x:row r="13" ht="22" customHeight="1">
      <x:c r="A13" s="20" t="n">
        <x:v>8</x:v>
      </x:c>
      <x:c r="B13" s="20" t="str">
        <x:v>8月</x:v>
      </x:c>
      <x:c r="C13" s="188" t="n">
        <x:v>0.1</x:v>
      </x:c>
      <x:c r="D13" s="527"/>
      <x:c r="E13" s="20" t="str">
        <x:v>住宅用ASP</x:v>
      </x:c>
      <x:c r="F13" s="20" t="str">
        <x:v>料金プラン・機器・蓄電池まで含む反復提案</x:v>
      </x:c>
      <x:c r="G13" s="20"/>
      <x:c r="H13" s="20"/>
      <x:c r="I13" s="20"/>
      <x:c r="J13" s="20"/>
    </x:row>
    <x:row r="14" ht="22" customHeight="1">
      <x:c r="A14" s="20" t="n">
        <x:v>9</x:v>
      </x:c>
      <x:c r="B14" s="20" t="str">
        <x:v>9月</x:v>
      </x:c>
      <x:c r="C14" s="188" t="n">
        <x:v>0.08</x:v>
      </x:c>
      <x:c r="D14" s="527"/>
      <x:c r="E14" s="20" t="str">
        <x:v>Biz</x:v>
      </x:c>
      <x:c r="F14" s="20" t="str">
        <x:v>産業用・自家消費型・需要データを用いた診断</x:v>
      </x:c>
      <x:c r="G14" s="20"/>
      <x:c r="H14" s="20"/>
      <x:c r="I14" s="20"/>
      <x:c r="J14" s="20"/>
    </x:row>
    <x:row r="15" ht="22" customHeight="1">
      <x:c r="A15" s="20" t="n">
        <x:v>10</x:v>
      </x:c>
      <x:c r="B15" s="20" t="str">
        <x:v>10月</x:v>
      </x:c>
      <x:c r="C15" s="188" t="n">
        <x:v>0.07</x:v>
      </x:c>
      <x:c r="D15" s="527"/>
      <x:c r="E15" s="20" t="str">
        <x:v>EV・V2H</x:v>
      </x:c>
      <x:c r="F15" s="20" t="str">
        <x:v>EV/V2Hを含む経済効果・TCO比較</x:v>
      </x:c>
      <x:c r="G15" s="20"/>
      <x:c r="H15" s="20"/>
      <x:c r="I15" s="20"/>
      <x:c r="J15" s="20"/>
    </x:row>
    <x:row r="16" ht="22" customHeight="1">
      <x:c r="A16" s="20" t="n">
        <x:v>11</x:v>
      </x:c>
      <x:c r="B16" s="20" t="str">
        <x:v>11月</x:v>
      </x:c>
      <x:c r="C16" s="188" t="n">
        <x:v>0.08</x:v>
      </x:c>
      <x:c r="D16" s="527"/>
      <x:c r="E16" s="20" t="str">
        <x:v>API</x:v>
      </x:c>
      <x:c r="F16" s="20" t="str">
        <x:v>自社システム・Webサービスへの計算機能組込み</x:v>
      </x:c>
      <x:c r="G16" s="20"/>
      <x:c r="H16" s="20"/>
      <x:c r="I16" s="20"/>
      <x:c r="J16" s="20"/>
    </x:row>
    <x:row r="17" ht="22" customHeight="1">
      <x:c r="A17" s="20" t="n">
        <x:v>12</x:v>
      </x:c>
      <x:c r="B17" s="20" t="str">
        <x:v>12月</x:v>
      </x:c>
      <x:c r="C17" s="188" t="n">
        <x:v>0.09</x:v>
      </x:c>
      <x:c r="D17" s="527"/>
      <x:c r="E17" s="20" t="str">
        <x:v>BPO</x:v>
      </x:c>
      <x:c r="F17" s="20" t="str">
        <x:v>データ整備・診断・レポート作成の外部委託</x:v>
      </x:c>
      <x:c r="G17" s="20"/>
      <x:c r="H17" s="20"/>
      <x:c r="I17" s="20"/>
      <x:c r="J17" s="20"/>
    </x:row>
    <x:row r="18" ht="22" customHeight="1">
      <x:c r="A18" s="527"/>
      <x:c r="B18" s="89" t="str">
        <x:v>合計</x:v>
      </x:c>
      <x:c r="C18" s="594" t="n">
        <x:f>SUM(C6:C17)</x:f>
        <x:v>1</x:v>
      </x:c>
      <x:c r="D18" s="527"/>
      <x:c r="E18" s="20" t="str">
        <x:v>経済効果シミュレーション保証</x:v>
      </x:c>
      <x:c r="F18" s="20" t="str">
        <x:v>提案の安心材料としての保証メニュー</x:v>
      </x:c>
      <x:c r="G18" s="20"/>
      <x:c r="H18" s="20"/>
      <x:c r="I18" s="20"/>
      <x:c r="J18" s="20"/>
    </x:row>
    <x:row r="19">
      <x:c r="A19" s="527"/>
      <x:c r="B19" s="527"/>
      <x:c r="C19" s="527"/>
      <x:c r="D19" s="527"/>
      <x:c r="E19" s="527"/>
      <x:c r="F19" s="527"/>
      <x:c r="G19" s="527"/>
      <x:c r="H19" s="527"/>
      <x:c r="I19" s="527"/>
      <x:c r="J19" s="527"/>
    </x:row>
    <x:row r="20">
      <x:c r="A20" s="33" t="str">
        <x:v>月別需要配分は年間使用量からの全国共通・公開初期仮定です。実際の月別・時間帯別需要を使う正式診断ではありません。各月0%以上、合計100%をQAします。</x:v>
      </x:c>
      <x:c r="B20" s="34"/>
      <x:c r="C20" s="35"/>
      <x:c r="D20" s="527"/>
      <x:c r="E20" s="13" t="str">
        <x:v>財務ヘルパー</x:v>
      </x:c>
      <x:c r="F20" s="13" t="str">
        <x:v>値</x:v>
      </x:c>
      <x:c r="G20" s="527"/>
      <x:c r="H20" s="528" t="str">
        <x:v>入力安全ゲート</x:v>
      </x:c>
      <x:c r="I20" s="528"/>
      <x:c r="J20" s="528"/>
    </x:row>
    <x:row r="21">
      <x:c r="A21" s="36"/>
      <x:c r="B21" s="37"/>
      <x:c r="C21" s="38"/>
      <x:c r="D21" s="527"/>
      <x:c r="E21" s="20" t="str">
        <x:v>適用補助金</x:v>
      </x:c>
      <x:c r="F21" s="190" t="n">
        <x:f>MIN(MAX('3分入力'!$D$16,0),MAX('3分入力'!$D$14,0))</x:f>
        <x:v>0</x:v>
      </x:c>
      <x:c r="G21" s="527"/>
      <x:c r="H21" s="20" t="str">
        <x:v>基本・詳細条件</x:v>
      </x:c>
      <x:c r="I21" s="20"/>
      <x:c r="J21" s="595" t="n">
        <x:f>IF(AND(COUNTIF('_地点データ'!$A$5:$A$51,'3分入力'!$D$6)=1,ISNUMBER('3分入力'!$D$8),'3分入力'!$D$8&gt;=0,'3分入力'!$D$8&lt;=9.9,ISNUMBER('3分入力'!$D$10),'3分入力'!$D$10&gt;=0,'3分入力'!$D$10&lt;=30000,OR('3分入力'!$D$12="日中不在",'3分入力'!$D$12="一部在宅",'3分入力'!$D$12="在宅中心"),ISNUMBER('3分入力'!$D$14),'3分入力'!$D$14&gt;=0,'3分入力'!$D$14&lt;=10000000,ISNUMBER('3分入力'!$D$16),'3分入力'!$D$16&gt;=0,'3分入力'!$D$16&lt;=10000000,OR('3分入力'!$D$20="標準日射データ",'3分入力'!$D$20="METPV-20等の入力"),ISNUMBER('詳細設定'!$D$6),'詳細設定'!$D$6&gt;=0,'詳細設定'!$D$6&lt;=100,ISNUMBER('詳細設定'!$D$7),'詳細設定'!$D$7&gt;=0,'詳細設定'!$D$7&lt;=100,ISNUMBER('詳細設定'!$D$8),'詳細設定'!$D$8=INT('詳細設定'!$D$8),'詳細設定'!$D$8&gt;=0,'詳細設定'!$D$8&lt;=20,ISNUMBER('詳細設定'!$D$9),'詳細設定'!$D$9&gt;=0,'詳細設定'!$D$9&lt;=100,ISNUMBER('詳細設定'!$D$10),'詳細設定'!$D$10=INT('詳細設定'!$D$10),'詳細設定'!$D$10&gt;='詳細設定'!$D$8,'詳細設定'!$D$10&lt;=20,ISNUMBER('詳細設定'!$D$11),'詳細設定'!$D$11&gt;=0,'詳細設定'!$D$11&lt;=100,OR('詳細設定'!$D$14="",AND(ISNUMBER('詳細設定'!$D$14),'詳細設定'!$D$14&gt;=0,'詳細設定'!$D$14&lt;=1)),ISNUMBER('詳細設定'!$D$16),'詳細設定'!$D$16&gt;=0,'詳細設定'!$D$16&lt;=0.05,ISNUMBER('詳細設定'!$D$17),'詳細設定'!$D$17&gt;=0,'詳細設定'!$D$17&lt;=5000000,ISNUMBER('詳細設定'!$D$18),'詳細設定'!$D$18=INT('詳細設定'!$D$18),'詳細設定'!$D$18&gt;=0,'詳細設定'!$D$18&lt;=20,ISNUMBER('詳細設定'!$D$19),'詳細設定'!$D$19&gt;=0,'詳細設定'!$D$19&lt;=5000000,ISNUMBER('詳細設定'!$D$20),'詳細設定'!$D$20&gt;=0,'詳細設定'!$D$20&lt;=1,ISNUMBER('詳細設定'!$D$21),'詳細設定'!$D$21&gt;=-0.05,'詳細設定'!$D$21&lt;=0.1,COUNT('詳細設定'!$D$23:$D$27)=5,MIN('詳細設定'!$D$23:$D$27)&gt;=0,MAX('詳細設定'!$D$23:$D$27)&lt;=1,ISNUMBER('詳細設定'!$D$28),'詳細設定'!$D$28&gt;=-5,'詳細設定'!$D$28&lt;=0,ISNUMBER('詳細設定'!$D$29),'詳細設定'!$D$29&gt;=0,'詳細設定'!$D$29&lt;=80,ISNUMBER('詳細設定'!$D$30),'詳細設定'!$D$30&gt;0,'詳細設定'!$D$30&lt;=2),1,0)</x:f>
        <x:v>1</x:v>
      </x:c>
    </x:row>
    <x:row r="22">
      <x:c r="A22" s="36"/>
      <x:c r="B22" s="37"/>
      <x:c r="C22" s="38"/>
      <x:c r="D22" s="527"/>
      <x:c r="E22" s="20" t="str">
        <x:v>補助金超過</x:v>
      </x:c>
      <x:c r="F22" s="190" t="n">
        <x:f>MAX('3分入力'!$D$16-MAX('3分入力'!$D$14,0),0)</x:f>
        <x:v>0</x:v>
      </x:c>
      <x:c r="G22" s="527"/>
      <x:c r="H22" s="20" t="str">
        <x:v>任意日射データ</x:v>
      </x:c>
      <x:c r="I22" s="20"/>
      <x:c r="J22" s="595" t="n">
        <x:f>IF('3分入力'!$D$20&lt;&gt;"METPV-20等の入力",1,IF(AND(COUNT('METPV-20入力'!$B$8:$C$19)=24,MIN('METPV-20入力'!$B$8:$B$19)&gt;=0,MAX('METPV-20入力'!$B$8:$B$19)&lt;=500,MIN('METPV-20入力'!$C$8:$C$19)&gt;=-50,MAX('METPV-20入力'!$C$8:$C$19)&lt;=60),1,0))</x:f>
        <x:v>1</x:v>
      </x:c>
    </x:row>
    <x:row r="23">
      <x:c r="A23" s="39"/>
      <x:c r="B23" s="40"/>
      <x:c r="C23" s="41"/>
      <x:c r="D23" s="527"/>
      <x:c r="E23" s="20" t="str">
        <x:v>正味初期負担</x:v>
      </x:c>
      <x:c r="F23" s="190" t="n">
        <x:f>MAX(MAX('3分入力'!$D$14,0)-F21,0)</x:f>
        <x:v>1500000</x:v>
      </x:c>
      <x:c r="G23" s="527"/>
      <x:c r="H23" s="20" t="str">
        <x:v>総合</x:v>
      </x:c>
      <x:c r="I23" s="20"/>
      <x:c r="J23" s="595" t="n">
        <x:f>IF(AND(J21=1,J22=1,OR('3分入力'!$D$18="自宅の導入検討",'3分入力'!$D$18="顧客提案に使う",'3分入力'!$D$18="調査・学習")),1,0)</x:f>
        <x:v>1</x:v>
      </x:c>
    </x:row>
    <x:row r="24">
      <x:c r="A24" s="527"/>
      <x:c r="B24" s="527"/>
      <x:c r="C24" s="527"/>
      <x:c r="D24" s="527"/>
      <x:c r="E24" s="527"/>
      <x:c r="F24" s="527"/>
      <x:c r="G24" s="527"/>
      <x:c r="H24" s="527"/>
      <x:c r="I24" s="527"/>
      <x:c r="J24" s="527"/>
    </x:row>
    <x:row r="25">
      <x:c r="A25" s="527"/>
      <x:c r="B25" s="527"/>
      <x:c r="C25" s="527"/>
      <x:c r="D25" s="527"/>
      <x:c r="E25" s="187" t="str">
        <x:v>版管理・公開責任</x:v>
      </x:c>
      <x:c r="F25" s="187"/>
      <x:c r="G25" s="187"/>
      <x:c r="H25" s="187"/>
      <x:c r="I25" s="187"/>
      <x:c r="J25" s="187"/>
    </x:row>
    <x:row r="26">
      <x:c r="A26" s="527"/>
      <x:c r="B26" s="527"/>
      <x:c r="C26" s="527"/>
      <x:c r="D26" s="527"/>
      <x:c r="E26" s="20" t="str">
        <x:v>版</x:v>
      </x:c>
      <x:c r="F26" s="20"/>
      <x:c r="G26" s="20" t="str">
        <x:v>1.0.1 final</x:v>
      </x:c>
      <x:c r="H26" s="20"/>
      <x:c r="I26" s="20"/>
      <x:c r="J26" s="20"/>
    </x:row>
    <x:row r="27">
      <x:c r="A27" s="527"/>
      <x:c r="B27" s="527"/>
      <x:c r="C27" s="527"/>
      <x:c r="D27" s="527"/>
      <x:c r="E27" s="20" t="str">
        <x:v>計算エンジン</x:v>
      </x:c>
      <x:c r="F27" s="20"/>
      <x:c r="G27" s="20" t="str">
        <x:v>20年×12か月＋3条件×20年×12か月</x:v>
      </x:c>
      <x:c r="H27" s="20"/>
      <x:c r="I27" s="20"/>
      <x:c r="J27" s="20"/>
    </x:row>
    <x:row r="28">
      <x:c r="A28" s="527"/>
      <x:c r="B28" s="527"/>
      <x:c r="C28" s="527"/>
      <x:c r="D28" s="527"/>
      <x:c r="E28" s="20" t="str">
        <x:v>標準日射データ</x:v>
      </x:c>
      <x:c r="F28" s="20"/>
      <x:c r="G28" s="20" t="str">
        <x:v>日本47都道府県 PVGIS-ERA5 月別日射量・気温既定値</x:v>
      </x:c>
      <x:c r="H28" s="20"/>
      <x:c r="I28" s="20"/>
      <x:c r="J28" s="20"/>
    </x:row>
    <x:row r="29">
      <x:c r="A29" s="527"/>
      <x:c r="B29" s="527"/>
      <x:c r="C29" s="527"/>
      <x:c r="D29" s="527"/>
      <x:c r="E29" s="20" t="str">
        <x:v>データSHA-256</x:v>
      </x:c>
      <x:c r="F29" s="20"/>
      <x:c r="G29" s="20" t="str">
        <x:v>715f5727a3bbdd2d807781ea94f847f4a982fb670645d7da386069b5446c8615</x:v>
      </x:c>
      <x:c r="H29" s="20"/>
      <x:c r="I29" s="20"/>
      <x:c r="J29" s="20"/>
    </x:row>
    <x:row r="30">
      <x:c r="A30" s="527"/>
      <x:c r="B30" s="527"/>
      <x:c r="C30" s="527"/>
      <x:c r="D30" s="527"/>
      <x:c r="E30" s="20" t="str">
        <x:v>FIT前提</x:v>
      </x:c>
      <x:c r="F30" s="20"/>
      <x:c r="G30" s="20" t="str">
        <x:v>2026年度10kW未満 24円（1～4年）/8.3円（5～10年）</x:v>
      </x:c>
      <x:c r="H30" s="20"/>
      <x:c r="I30" s="20"/>
      <x:c r="J30" s="20"/>
    </x:row>
    <x:row r="31">
      <x:c r="A31" s="527"/>
      <x:c r="B31" s="527"/>
      <x:c r="C31" s="527"/>
      <x:c r="D31" s="527"/>
      <x:c r="E31" s="20" t="str">
        <x:v>前提失効日</x:v>
      </x:c>
      <x:c r="F31" s="20"/>
      <x:c r="G31" s="20" t="str">
        <x:v>2027-03-31（FIT・売電・料金前提を再確認）</x:v>
      </x:c>
      <x:c r="H31" s="20"/>
      <x:c r="I31" s="20"/>
      <x:c r="J31" s="20"/>
    </x:row>
    <x:row r="32">
      <x:c r="A32" s="527"/>
      <x:c r="B32" s="527"/>
      <x:c r="C32" s="527"/>
      <x:c r="D32" s="527"/>
      <x:c r="E32" s="20" t="str">
        <x:v>更新責任者</x:v>
      </x:c>
      <x:c r="F32" s="20"/>
      <x:c r="G32" s="20" t="str">
        <x:v>国際航業株式会社 エネがえる運営事務局｜制度・料金・PVGIS更新時に見直し</x:v>
      </x:c>
      <x:c r="H32" s="20"/>
      <x:c r="I32" s="20"/>
      <x:c r="J32" s="20"/>
    </x:row>
    <x:row r="33">
      <x:c r="A33" s="527"/>
      <x:c r="B33" s="527"/>
      <x:c r="C33" s="527"/>
      <x:c r="D33" s="527"/>
      <x:c r="E33" s="20" t="str">
        <x:v>計算更新日</x:v>
      </x:c>
      <x:c r="F33" s="20"/>
      <x:c r="G33" s="20" t="str">
        <x:v>2026-08-28</x:v>
      </x:c>
      <x:c r="H33" s="20"/>
      <x:c r="I33" s="20"/>
      <x:c r="J33" s="20"/>
    </x:row>
    <x:row r="34">
      <x:c r="A34" s="527"/>
      <x:c r="B34" s="527"/>
      <x:c r="C34" s="527"/>
      <x:c r="D34" s="527"/>
      <x:c r="E34" s="20" t="str">
        <x:v>PVGIS構造検証</x:v>
      </x:c>
      <x:c r="F34" s="20"/>
      <x:c r="G34" s="20" t="str">
        <x:v>PASS｜47地点・564月・欠損0</x:v>
      </x:c>
      <x:c r="H34" s="20"/>
      <x:c r="I34" s="20"/>
      <x:c r="J34" s="20"/>
    </x:row>
    <x:row r="35">
      <x:c r="A35" s="527"/>
      <x:c r="B35" s="527"/>
      <x:c r="C35" s="527"/>
      <x:c r="D35" s="527"/>
      <x:c r="E35" s="20" t="str">
        <x:v>独立再取得</x:v>
      </x:c>
      <x:c r="F35" s="20"/>
      <x:c r="G35" s="20" t="str">
        <x:v>4/4地点 PASS</x:v>
      </x:c>
      <x:c r="H35" s="20"/>
      <x:c r="I35" s="20"/>
      <x:c r="J35" s="20"/>
    </x:row>
    <x:row r="36">
      <x:c r="A36" s="527"/>
      <x:c r="B36" s="527"/>
      <x:c r="C36" s="527"/>
      <x:c r="D36" s="527"/>
      <x:c r="E36" s="20" t="str">
        <x:v>代表点座標</x:v>
      </x:c>
      <x:c r="F36" s="20"/>
      <x:c r="G36" s="20" t="str">
        <x:v>国土地理院 最適化ベクトルタイル・都道府県庁等注記代表点</x:v>
      </x:c>
      <x:c r="H36" s="20"/>
      <x:c r="I36" s="20"/>
      <x:c r="J36" s="20"/>
    </x:row>
    <x:row r="37">
      <x:c r="A37" s="527"/>
      <x:c r="B37" s="527"/>
      <x:c r="C37" s="527"/>
      <x:c r="D37" s="527"/>
      <x:c r="E37" s="527"/>
      <x:c r="F37" s="527"/>
      <x:c r="G37" s="527"/>
      <x:c r="H37" s="527"/>
      <x:c r="I37" s="527"/>
      <x:c r="J37" s="527"/>
    </x:row>
    <x:row r="38">
      <x:c r="A38" s="527"/>
      <x:c r="B38" s="527"/>
      <x:c r="C38" s="527"/>
      <x:c r="D38" s="527"/>
      <x:c r="E38" s="527"/>
      <x:c r="F38" s="527"/>
      <x:c r="G38" s="527"/>
      <x:c r="H38" s="527"/>
      <x:c r="I38" s="527"/>
      <x:c r="J38" s="527"/>
    </x:row>
  </x:sheetData>
  <x:sheetProtection sheet="1" objects="0" scenarios="1" formatCells="1" formatColumns="1" formatRows="1" insertColumns="1" insertRows="1" insertHyperlinks="1" deleteColumns="1" deleteRows="1" selectLockedCells="0" selectUnlockedCells="0"/>
  <x:mergeCells>
    <x:mergeCell ref="A1:J2"/>
    <x:mergeCell ref="A3:J3"/>
    <x:mergeCell ref="E11:J11"/>
    <x:mergeCell ref="F12:J12"/>
    <x:mergeCell ref="F13:J13"/>
    <x:mergeCell ref="F14:J14"/>
    <x:mergeCell ref="F15:J15"/>
    <x:mergeCell ref="F16:J16"/>
    <x:mergeCell ref="F17:J17"/>
    <x:mergeCell ref="F18:J18"/>
    <x:mergeCell ref="A20:C23"/>
    <x:mergeCell ref="H20:J20"/>
    <x:mergeCell ref="H21:I21"/>
    <x:mergeCell ref="H22:I22"/>
    <x:mergeCell ref="H23:I23"/>
    <x:mergeCell ref="E25:J25"/>
    <x:mergeCell ref="E26:F26"/>
    <x:mergeCell ref="G26:J26"/>
    <x:mergeCell ref="E27:F27"/>
    <x:mergeCell ref="G27:J27"/>
    <x:mergeCell ref="E28:F28"/>
    <x:mergeCell ref="G28:J28"/>
    <x:mergeCell ref="E29:F29"/>
    <x:mergeCell ref="G29:J29"/>
    <x:mergeCell ref="E30:F30"/>
    <x:mergeCell ref="G30:J30"/>
    <x:mergeCell ref="E31:F31"/>
    <x:mergeCell ref="G31:J31"/>
    <x:mergeCell ref="E32:F32"/>
    <x:mergeCell ref="G32:J32"/>
    <x:mergeCell ref="E33:F33"/>
    <x:mergeCell ref="G33:J33"/>
    <x:mergeCell ref="E34:F34"/>
    <x:mergeCell ref="G34:J34"/>
    <x:mergeCell ref="E35:F35"/>
    <x:mergeCell ref="G35:J35"/>
    <x:mergeCell ref="E36:F36"/>
    <x:mergeCell ref="G36:J36"/>
  </x:mergeCells>
  <x:pageMargins left="0.7" right="0.7" top="0.75" bottom="0.75" header="0.3" footer="0.3"/>
</x:worksheet>
</file>

<file path=docProps/app.xml><?xml version="1.0" encoding="utf-8"?>
<Properties xmlns="http://schemas.openxmlformats.org/officeDocument/2006/extended-properties" xmlns:vt="http://schemas.openxmlformats.org/officeDocument/2006/docPropsVTypes">
  <Application>エネがえる Excel Generator</Application>
  <DocSecurity>0</DocSecurity>
  <ScaleCrop>false</ScaleCrop>
  <Company>エネがえる</Company>
  <LinksUpToDate>false</LinksUpToDate>
  <SharedDoc>false</SharedDoc>
  <HyperlinksChanged>false</HyperlinksChanged>
  <AppVersion>1.0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家庭用太陽光｜47都道府県 3分経済効果チェック</dc:title>
  <dc:subject>家庭用太陽光の発電量・経済効果の参考試算</dc:subject>
  <dc:creator>エネがえる</dc:creator>
  <cp:keywords>太陽光,経済効果,47都道府県,PVGIS,エネがえる</cp:keywords>
  <dc:description>JIS C 8907:2005の考え方を参照した独自参考試算。PVGIS-ERA5と国土地理院代表点を利用。</dc:description>
  <cp:lastModifiedBy>エネがえる</cp:lastModifiedBy>
  <dcterms:created xsi:type="dcterms:W3CDTF">2026-08-28T00:00:00Z</dcterms:created>
  <dcterms:modified xsi:type="dcterms:W3CDTF">2026-08-30T02:40:00Z</dcterms:modified>
  <dc:language>ja-JP</dc:language>
  <cp:category>経済効果シミュレーション</cp:category>
  <cp:contentStatus>final</cp:contentStatus>
</cp:coreProperties>
</file>