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eae8c658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結果" sheetId="1" r:id="R24b4232a62c04aae"/>
    <x:sheet xmlns:r="http://schemas.openxmlformats.org/officeDocument/2006/relationships" name="入力" sheetId="2" r:id="R18376df93f7343fe"/>
    <x:sheet xmlns:r="http://schemas.openxmlformats.org/officeDocument/2006/relationships" name="年次計算" sheetId="3" r:id="R4f8b2db2261248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#,##0.00;(#,##0.00);&quot;-&quot;"/>
    <x:numFmt numFmtId="203" formatCode="#,##0"/>
  </x:numFmts>
  <x:fonts count="6">
    <x:font>
      <x:sz val="11"/>
      <x:name val="Carlito"/>
    </x:font>
    <x:font>
      <x:sz val="11"/>
      <x:color rgb="FF252B2A"/>
      <x:name val="Noto Sans JP"/>
    </x:font>
    <x:font>
      <x:b/>
      <x:sz val="16"/>
      <x:color rgb="FF252B2A"/>
      <x:name val="Noto Sans JP"/>
    </x:font>
    <x:font>
      <x:sz val="11"/>
      <x:color rgb="FF185ABD"/>
      <x:name val="Noto Sans JP"/>
    </x:font>
    <x:font>
      <x:sz val="11"/>
      <x:color rgb="FFFFFFFF"/>
      <x:name val="Noto Sans JP"/>
    </x:font>
    <x:font>
      <x:sz val="11"/>
      <x:color rgb="FF087F73"/>
      <x:name val="Noto Sans JP"/>
    </x:font>
  </x:fonts>
  <x:fills count="4">
    <x:fill>
      <x:patternFill patternType="none"/>
    </x:fill>
    <x:fill>
      <x:patternFill patternType="gray125"/>
    </x:fill>
    <x:fill>
      <x:patternFill patternType="solid">
        <x:fgColor rgb="FFF0F7F4"/>
      </x:patternFill>
    </x:fill>
    <x:fill>
      <x:patternFill patternType="solid">
        <x:fgColor rgb="FF087F7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e5862b2094d2e" /><Relationship Type="http://schemas.openxmlformats.org/officeDocument/2006/relationships/theme" Target="/xl/theme/theme1.xml" Id="R4dcdcf2cd2144f90" /><Relationship Type="http://schemas.openxmlformats.org/officeDocument/2006/relationships/sharedStrings" Target="/xl/sharedStrings.xml" Id="R81e65601b0ec4fb8" /><Relationship Type="http://schemas.openxmlformats.org/officeDocument/2006/relationships/worksheet" Target="/xl/worksheets/sheet1.xml" Id="R24b4232a62c04aae" /><Relationship Type="http://schemas.openxmlformats.org/officeDocument/2006/relationships/worksheet" Target="/xl/worksheets/sheet2.xml" Id="R18376df93f7343fe" /><Relationship Type="http://schemas.openxmlformats.org/officeDocument/2006/relationships/worksheet" Target="/xl/worksheets/sheet3.xml" Id="R4f8b2db2261248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d0eb6c4d9e542b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累計収支（円）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累計投資収支 円</c:v>
          </c:tx>
          <c:spPr>
            <a:solidFill xmlns:a="http://schemas.openxmlformats.org/drawingml/2006/main">
              <a:srgbClr val="087F73"/>
            </a:solidFill>
          </c:spPr>
          <c:marker>
            <c:symbol val="none"/>
          </c:marker>
          <c:cat>
            <c:strRef>
              <c:f>'結果'!$A$23:$A$58</c:f>
              <c:strCache>
                <c:ptCount val="0"/>
              </c:strCache>
            </c:strRef>
          </c:cat>
          <c:val>
            <c:numRef>
              <c:f>'結果'!$B$23:$B$58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家計累計 円</c:v>
          </c:tx>
          <c:spPr>
            <a:solidFill xmlns:a="http://schemas.openxmlformats.org/drawingml/2006/main">
              <a:srgbClr val="515B57"/>
            </a:solidFill>
          </c:spPr>
          <c:marker>
            <c:symbol val="none"/>
          </c:marker>
          <c:cat>
            <c:strRef>
              <c:f>'結果'!$A$23:$A$58</c:f>
              <c:strCache>
                <c:ptCount val="0"/>
              </c:strCache>
            </c:strRef>
          </c:cat>
          <c:val>
            <c:numRef>
              <c:f>'結果'!$C$23:$C$58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0eb6c4d9e542b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247466413147d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76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2" t="str">
        <x:v>太陽光・蓄電池は元が取れる？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1" t="str">
        <x:v>比較案</x:v>
      </x:c>
      <x:c r="B4" s="14" t="str">
        <x:f>CHOOSE('入力'!$B$3,"太陽光のみ","太陽光＋蓄電池","既設PVに蓄電池追加","太陽光なし蓄電池")</x:f>
        <x:v>太陽光＋蓄電池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 t="str">
        <x:v>条件</x:v>
      </x:c>
      <x:c r="B5" s="14" t="str">
        <x:f>CHOOSE(入力!B4,"悲観","入力条件","楽観")</x:f>
        <x:v>入力条件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4" customHeight="1">
      <x:c r="A7" s="11" t="str">
        <x:v>指標</x:v>
      </x:c>
      <x:c r="B7" s="11" t="str">
        <x:v>計算結果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 ht="24" customHeight="1">
      <x:c r="A8" s="1" t="str">
        <x:v>補助後初期投資 円</x:v>
      </x:c>
      <x:c r="B8" s="13" t="n">
        <x:f>年次計算!B3</x:f>
        <x:v>3250000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 ht="24" customHeight="1">
      <x:c r="A9" s="1" t="str">
        <x:v>期間累計投資収支 円</x:v>
      </x:c>
      <x:c r="B9" s="13" t="n">
        <x:f>INDEX(年次計算!S7:S42,'入力'!$B$38+1)</x:f>
        <x:v>-1859301.6325149063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 ht="24" customHeight="1">
      <x:c r="A10" s="1" t="str">
        <x:v>NPV 円</x:v>
      </x:c>
      <x:c r="B10" s="13" t="n">
        <x:f>SUM(年次計算!T7:T42)</x:f>
        <x:v>-2041222.7059718163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str">
        <x:v>継続回収 年目</x:v>
      </x:c>
      <x:c r="B11" s="13" t="str">
        <x:f>IF(MIN(年次計算!W8:W42)=999,"期間内回収せず",MIN(年次計算!W8:W42))</x:f>
        <x:v>期間内回収せず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 ht="24" customHeight="1">
      <x:c r="A12" s="1" t="str">
        <x:v>月返済 円</x:v>
      </x:c>
      <x:c r="B12" s="13" t="n">
        <x:f>年次計算!H3</x:f>
        <x:v>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str">
        <x:v>家計累計収支 円</x:v>
      </x:c>
      <x:c r="B13" s="13" t="n">
        <x:f>INDEX(年次計算!V7:V42,'入力'!$B$38+1)</x:f>
        <x:v>-1859301.6325149063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str">
        <x:v>使い方</x:v>
      </x:c>
      <x:c r="B15" s="1" t="str">
        <x:v>入力の比較案・条件を切り替え、個別見積と明細を入力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 ht="24" customHeight="1">
      <x:c r="A16" s="1" t="str">
        <x:v>継続回収</x:v>
      </x:c>
      <x:c r="B16" s="1" t="str">
        <x:v>交換・撤去後も評価期間終わりまで累計非負となる年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str">
        <x:v>追加分の比較</x:v>
      </x:c>
      <x:c r="B17" s="1" t="str">
        <x:v>セットと太陽光のみを同一条件で切替。差額を比較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str">
        <x:v>計算の限界</x:v>
      </x:c>
      <x:c r="B18" s="1" t="str">
        <x:v>年次概算。時間帯出力・月別需給・DR収入は未再現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 ht="24" customHeight="1">
      <x:c r="A19" s="1" t="str">
        <x:v>正式診断</x:v>
      </x:c>
      <x:c r="B19" s="1" t="str">
        <x:v>地域・設備・生活条件をそろえて施工店にエネがえる診断依頼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 ht="24" customHeight="1">
      <x:c r="A22" s="1" t="str">
        <x:v>年</x:v>
      </x:c>
      <x:c r="B22" s="1" t="str">
        <x:v>累計投資収支 円</x:v>
      </x:c>
      <x:c r="C22" s="1" t="str">
        <x:v>家計累計 円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 ht="24" customHeight="1">
      <x:c r="A23" s="1" t="n">
        <x:f>年次計算!A7</x:f>
        <x:v>0</x:v>
      </x:c>
      <x:c r="B23" s="15" t="n">
        <x:f>年次計算!S7</x:f>
        <x:v>-3250000</x:v>
      </x:c>
      <x:c r="C23" s="15" t="n">
        <x:f>年次計算!V7</x:f>
        <x:v>-3250000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 ht="24" customHeight="1">
      <x:c r="A24" s="1" t="n">
        <x:f>年次計算!A8</x:f>
        <x:v>1</x:v>
      </x:c>
      <x:c r="B24" s="15" t="n">
        <x:f>年次計算!S8</x:f>
        <x:v>-3100121.875</x:v>
      </x:c>
      <x:c r="C24" s="15" t="n">
        <x:f>年次計算!V8</x:f>
        <x:v>-3100121.875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 ht="24" customHeight="1">
      <x:c r="A25" s="1" t="n">
        <x:f>年次計算!A9</x:f>
        <x:v>2</x:v>
      </x:c>
      <x:c r="B25" s="15" t="n">
        <x:f>年次計算!S9</x:f>
        <x:v>-2951203.6875</x:v>
      </x:c>
      <x:c r="C25" s="15" t="n">
        <x:f>年次計算!V9</x:f>
        <x:v>-2951203.6875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 ht="24" customHeight="1">
      <x:c r="A26" s="1" t="n">
        <x:f>年次計算!A10</x:f>
        <x:v>3</x:v>
      </x:c>
      <x:c r="B26" s="15" t="n">
        <x:f>年次計算!S10</x:f>
        <x:v>-2803237.726875</x:v>
      </x:c>
      <x:c r="C26" s="15" t="n">
        <x:f>年次計算!V10</x:f>
        <x:v>-2803237.726875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 ht="24" customHeight="1">
      <x:c r="A27" s="1" t="n">
        <x:f>年次計算!A11</x:f>
        <x:v>4</x:v>
      </x:c>
      <x:c r="B27" s="15" t="n">
        <x:f>年次計算!S11</x:f>
        <x:v>-2656216.379271875</x:v>
      </x:c>
      <x:c r="C27" s="15" t="n">
        <x:f>年次計算!V11</x:f>
        <x:v>-2656216.379271875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 ht="24" customHeight="1">
      <x:c r="A28" s="1" t="n">
        <x:f>年次計算!A12</x:f>
        <x:v>5</x:v>
      </x:c>
      <x:c r="B28" s="15" t="n">
        <x:f>年次計算!S12</x:f>
        <x:v>-2540708.4756184705</x:v>
      </x:c>
      <x:c r="C28" s="15" t="n">
        <x:f>年次計算!V12</x:f>
        <x:v>-2540708.4756184705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 ht="24" customHeight="1">
      <x:c r="A29" s="1" t="n">
        <x:f>年次計算!A13</x:f>
        <x:v>6</x:v>
      </x:c>
      <x:c r="B29" s="15" t="n">
        <x:f>年次計算!S13</x:f>
        <x:v>-2426343.9141582055</x:v>
      </x:c>
      <x:c r="C29" s="15" t="n">
        <x:f>年次計算!V13</x:f>
        <x:v>-2426343.9141582055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 ht="24" customHeight="1">
      <x:c r="A30" s="1" t="n">
        <x:f>年次計算!A14</x:f>
        <x:v>7</x:v>
      </x:c>
      <x:c r="B30" s="15" t="n">
        <x:f>年次計算!S14</x:f>
        <x:v>-2313106.962126617</x:v>
      </x:c>
      <x:c r="C30" s="15" t="n">
        <x:f>年次計算!V14</x:f>
        <x:v>-2313106.962126617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 ht="24" customHeight="1">
      <x:c r="A31" s="1" t="n">
        <x:f>年次計算!A15</x:f>
        <x:v>8</x:v>
      </x:c>
      <x:c r="B31" s="15" t="n">
        <x:f>年次計算!S15</x:f>
        <x:v>-2200982.1657441338</x:v>
      </x:c>
      <x:c r="C31" s="15" t="n">
        <x:f>年次計算!V15</x:f>
        <x:v>-2200982.1657441338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 ht="24" customHeight="1">
      <x:c r="A32" s="1" t="n">
        <x:f>年次計算!A16</x:f>
        <x:v>9</x:v>
      </x:c>
      <x:c r="B32" s="15" t="n">
        <x:f>年次計算!S16</x:f>
        <x:v>-2089954.3448147315</x:v>
      </x:c>
      <x:c r="C32" s="15" t="n">
        <x:f>年次計算!V16</x:f>
        <x:v>-2089954.3448147315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 ht="24" customHeight="1">
      <x:c r="A33" s="1" t="n">
        <x:f>年次計算!A17</x:f>
        <x:v>10</x:v>
      </x:c>
      <x:c r="B33" s="15" t="n">
        <x:f>年次計算!S17</x:f>
        <x:v>-1980008.5874317214</x:v>
      </x:c>
      <x:c r="C33" s="15" t="n">
        <x:f>年次計算!V17</x:f>
        <x:v>-1980008.5874317214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 ht="24" customHeight="1">
      <x:c r="A34" s="1" t="n">
        <x:f>年次計算!A18</x:f>
        <x:v>11</x:v>
      </x:c>
      <x:c r="B34" s="15" t="n">
        <x:f>年次計算!S18</x:f>
        <x:v>-1870725.9631175783</x:v>
      </x:c>
      <x:c r="C34" s="15" t="n">
        <x:f>年次計算!V18</x:f>
        <x:v>-1870725.9631175783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 ht="24" customHeight="1">
      <x:c r="A35" s="1" t="n">
        <x:f>年次計算!A19</x:f>
        <x:v>12</x:v>
      </x:c>
      <x:c r="B35" s="15" t="n">
        <x:f>年次計算!S19</x:f>
        <x:v>-1762494.2477277732</x:v>
      </x:c>
      <x:c r="C35" s="15" t="n">
        <x:f>年次計算!V19</x:f>
        <x:v>-1762494.2477277732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 ht="24" customHeight="1">
      <x:c r="A36" s="1" t="n">
        <x:f>年次計算!A20</x:f>
        <x:v>13</x:v>
      </x:c>
      <x:c r="B36" s="15" t="n">
        <x:f>年次計算!S20</x:f>
        <x:v>-1655299.3968016289</x:v>
      </x:c>
      <x:c r="C36" s="15" t="n">
        <x:f>年次計算!V20</x:f>
        <x:v>-1655299.3968016289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 ht="24" customHeight="1">
      <x:c r="A37" s="1" t="n">
        <x:f>年次計算!A21</x:f>
        <x:v>14</x:v>
      </x:c>
      <x:c r="B37" s="15" t="n">
        <x:f>年次計算!S21</x:f>
        <x:v>-1549127.611899093</x:v>
      </x:c>
      <x:c r="C37" s="15" t="n">
        <x:f>年次計算!V21</x:f>
        <x:v>-1549127.611899093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 ht="24" customHeight="1">
      <x:c r="A38" s="1" t="n">
        <x:f>年次計算!A22</x:f>
        <x:v>15</x:v>
      </x:c>
      <x:c r="B38" s="15" t="n">
        <x:f>年次計算!S22</x:f>
        <x:v>-1793965.335854668</x:v>
      </x:c>
      <x:c r="C38" s="15" t="n">
        <x:f>年次計算!V22</x:f>
        <x:v>-1793965.335854668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 ht="24" customHeight="1">
      <x:c r="A39" s="1" t="n">
        <x:f>年次計算!A23</x:f>
        <x:v>16</x:v>
      </x:c>
      <x:c r="B39" s="15" t="n">
        <x:f>年次計算!S23</x:f>
        <x:v>-2680424.499540566</x:v>
      </x:c>
      <x:c r="C39" s="15" t="n">
        <x:f>年次計算!V23</x:f>
        <x:v>-2680424.499540566</x:v>
      </x:c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 ht="24" customHeight="1">
      <x:c r="A40" s="1" t="n">
        <x:f>年次計算!A24</x:f>
        <x:v>17</x:v>
      </x:c>
      <x:c r="B40" s="15" t="n">
        <x:f>年次計算!S24</x:f>
        <x:v>-2568054.258033035</x:v>
      </x:c>
      <x:c r="C40" s="15" t="n">
        <x:f>年次計算!V24</x:f>
        <x:v>-2568054.258033035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 ht="24" customHeight="1">
      <x:c r="A41" s="1" t="n">
        <x:f>年次計算!A25</x:f>
        <x:v>18</x:v>
      </x:c>
      <x:c r="B41" s="15" t="n">
        <x:f>年次計算!S25</x:f>
        <x:v>-2456838.0005455413</x:v>
      </x:c>
      <x:c r="C41" s="15" t="n">
        <x:f>年次計算!V25</x:f>
        <x:v>-2456838.0005455413</x:v>
      </x:c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 ht="24" customHeight="1">
      <x:c r="A42" s="1" t="n">
        <x:f>年次計算!A26</x:f>
        <x:v>19</x:v>
      </x:c>
      <x:c r="B42" s="15" t="n">
        <x:f>年次計算!S26</x:f>
        <x:v>-2346759.414501735</x:v>
      </x:c>
      <x:c r="C42" s="15" t="n">
        <x:f>年次計算!V26</x:f>
        <x:v>-2346759.414501735</x:v>
      </x:c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 ht="24" customHeight="1">
      <x:c r="A43" s="1" t="n">
        <x:f>年次計算!A27</x:f>
        <x:v>20</x:v>
      </x:c>
      <x:c r="B43" s="15" t="n">
        <x:f>年次計算!S27</x:f>
        <x:v>-2237802.479741273</x:v>
      </x:c>
      <x:c r="C43" s="15" t="n">
        <x:f>年次計算!V27</x:f>
        <x:v>-2237802.479741273</x:v>
      </x:c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 t="n">
        <x:f>年次計算!A28</x:f>
        <x:v>21</x:v>
      </x:c>
      <x:c r="B44" s="15" t="n">
        <x:f>年次計算!S28</x:f>
        <x:v>-2129951.462840676</x:v>
      </x:c>
      <x:c r="C44" s="15" t="n">
        <x:f>年次計算!V28</x:f>
        <x:v>-2129951.462840676</x:v>
      </x:c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 t="n">
        <x:f>年次計算!A29</x:f>
        <x:v>22</x:v>
      </x:c>
      <x:c r="B45" s="15" t="n">
        <x:f>年次計算!S29</x:f>
        <x:v>-2023190.9115469228</x:v>
      </x:c>
      <x:c r="C45" s="15" t="n">
        <x:f>年次計算!V29</x:f>
        <x:v>-2023190.9115469228</x:v>
      </x:c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 t="n">
        <x:f>年次計算!A30</x:f>
        <x:v>23</x:v>
      </x:c>
      <x:c r="B46" s="15" t="n">
        <x:f>年次計算!S30</x:f>
        <x:v>-1917505.6493215328</x:v>
      </x:c>
      <x:c r="C46" s="15" t="n">
        <x:f>年次計算!V30</x:f>
        <x:v>-1917505.6493215328</x:v>
      </x:c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 t="n">
        <x:f>年次計算!A31</x:f>
        <x:v>24</x:v>
      </x:c>
      <x:c r="B47" s="15" t="n">
        <x:f>年次計算!S31</x:f>
        <x:v>-1812880.7699929264</x:v>
      </x:c>
      <x:c r="C47" s="15" t="n">
        <x:f>年次計算!V31</x:f>
        <x:v>-1812880.7699929264</x:v>
      </x:c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 t="n">
        <x:f>年次計算!A32</x:f>
        <x:v>25</x:v>
      </x:c>
      <x:c r="B48" s="15" t="n">
        <x:f>年次計算!S32</x:f>
        <x:v>-1859301.6325149063</x:v>
      </x:c>
      <x:c r="C48" s="15" t="n">
        <x:f>年次計算!V32</x:f>
        <x:v>-1859301.6325149063</x:v>
      </x:c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 t="n">
        <x:f>年次計算!A33</x:f>
        <x:v>26</x:v>
      </x:c>
      <x:c r="B49" s="15" t="n">
        <x:f>年次計算!S33</x:f>
        <x:v>-1859301.6325149063</x:v>
      </x:c>
      <x:c r="C49" s="15" t="n">
        <x:f>年次計算!V33</x:f>
        <x:v>-1859301.6325149063</x:v>
      </x:c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 t="n">
        <x:f>年次計算!A34</x:f>
        <x:v>27</x:v>
      </x:c>
      <x:c r="B50" s="15" t="n">
        <x:f>年次計算!S34</x:f>
        <x:v>-1859301.6325149063</x:v>
      </x:c>
      <x:c r="C50" s="15" t="n">
        <x:f>年次計算!V34</x:f>
        <x:v>-1859301.6325149063</x:v>
      </x:c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 t="n">
        <x:f>年次計算!A35</x:f>
        <x:v>28</x:v>
      </x:c>
      <x:c r="B51" s="15" t="n">
        <x:f>年次計算!S35</x:f>
        <x:v>-1859301.6325149063</x:v>
      </x:c>
      <x:c r="C51" s="15" t="n">
        <x:f>年次計算!V35</x:f>
        <x:v>-1859301.6325149063</x:v>
      </x:c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 t="n">
        <x:f>年次計算!A36</x:f>
        <x:v>29</x:v>
      </x:c>
      <x:c r="B52" s="15" t="n">
        <x:f>年次計算!S36</x:f>
        <x:v>-1859301.6325149063</x:v>
      </x:c>
      <x:c r="C52" s="15" t="n">
        <x:f>年次計算!V36</x:f>
        <x:v>-1859301.6325149063</x:v>
      </x:c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 t="n">
        <x:f>年次計算!A37</x:f>
        <x:v>30</x:v>
      </x:c>
      <x:c r="B53" s="15" t="n">
        <x:f>年次計算!S37</x:f>
        <x:v>-1859301.6325149063</x:v>
      </x:c>
      <x:c r="C53" s="15" t="n">
        <x:f>年次計算!V37</x:f>
        <x:v>-1859301.6325149063</x:v>
      </x:c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 t="n">
        <x:f>年次計算!A38</x:f>
        <x:v>31</x:v>
      </x:c>
      <x:c r="B54" s="15" t="n">
        <x:f>年次計算!S38</x:f>
        <x:v>-1859301.6325149063</x:v>
      </x:c>
      <x:c r="C54" s="15" t="n">
        <x:f>年次計算!V38</x:f>
        <x:v>-1859301.6325149063</x:v>
      </x:c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 t="n">
        <x:f>年次計算!A39</x:f>
        <x:v>32</x:v>
      </x:c>
      <x:c r="B55" s="15" t="n">
        <x:f>年次計算!S39</x:f>
        <x:v>-1859301.6325149063</x:v>
      </x:c>
      <x:c r="C55" s="15" t="n">
        <x:f>年次計算!V39</x:f>
        <x:v>-1859301.6325149063</x:v>
      </x:c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 t="n">
        <x:f>年次計算!A40</x:f>
        <x:v>33</x:v>
      </x:c>
      <x:c r="B56" s="15" t="n">
        <x:f>年次計算!S40</x:f>
        <x:v>-1859301.6325149063</x:v>
      </x:c>
      <x:c r="C56" s="15" t="n">
        <x:f>年次計算!V40</x:f>
        <x:v>-1859301.6325149063</x:v>
      </x:c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 t="n">
        <x:f>年次計算!A41</x:f>
        <x:v>34</x:v>
      </x:c>
      <x:c r="B57" s="15" t="n">
        <x:f>年次計算!S41</x:f>
        <x:v>-1859301.6325149063</x:v>
      </x:c>
      <x:c r="C57" s="15" t="n">
        <x:f>年次計算!V41</x:f>
        <x:v>-1859301.6325149063</x:v>
      </x:c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 t="n">
        <x:f>年次計算!A42</x:f>
        <x:v>35</x:v>
      </x:c>
      <x:c r="B58" s="15" t="n">
        <x:f>年次計算!S42</x:f>
        <x:v>-1859301.6325149063</x:v>
      </x:c>
      <x:c r="C58" s="15" t="n">
        <x:f>年次計算!V42</x:f>
        <x:v>-1859301.6325149063</x:v>
      </x:c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pageMargins left="0.7" right="0.7" top="0.75" bottom="0.75" header="0.3" footer="0.3"/>
  <x:drawing xmlns:r="http://schemas.openxmlformats.org/officeDocument/2006/relationships" r:id="Re1247466413147d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68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2" t="str">
        <x:v>太陽光・蓄電池 回収計算 入力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 t="str">
        <x:v>比較案</x:v>
      </x:c>
      <x:c r="B3" s="1" t="n">
        <x:v>2</x:v>
      </x:c>
      <x:c r="C3" s="1" t="str">
        <x:v>1 太陽光 / 2 セット / 3 既設PV追加 / 4 太陽光なし蓄電池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1" t="str">
        <x:v>条件</x:v>
      </x:c>
      <x:c r="B4" s="1" t="n">
        <x:v>2</x:v>
      </x:c>
      <x:c r="C4" s="1" t="str">
        <x:v>1 悲観 / 2 入力条件 / 3 楽観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4" customHeight="1">
      <x:c r="A6" s="11" t="str">
        <x:v>条件</x:v>
      </x:c>
      <x:c r="B6" s="11" t="str">
        <x:v>使用値</x:v>
      </x:c>
      <x:c r="C6" s="11" t="str">
        <x:v>入力・根拠</x:v>
      </x:c>
      <x:c r="D6" s="11" t="str">
        <x:v>悲観</x:v>
      </x:c>
      <x:c r="E6" s="11" t="str">
        <x:v>入力条件</x:v>
      </x:c>
      <x:c r="F6" s="11" t="str">
        <x:v>楽観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4" customHeight="1">
      <x:c r="A7" s="1" t="str">
        <x:v>PV容量kW</x:v>
      </x:c>
      <x:c r="B7" s="5" t="n">
        <x:v>5</x:v>
      </x:c>
      <x:c r="C7" s="1" t="str">
        <x:v>個別見積・実契約・利用者入力。初期値は検証用仮定。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 ht="24" customHeight="1">
      <x:c r="A8" s="1" t="str">
        <x:v>屋根条件反映発電kWh/kW</x:v>
      </x:c>
      <x:c r="B8" s="7" t="n">
        <x:f>CHOOSE($B$4,D8,E8,F8)</x:f>
        <x:v>1100</x:v>
      </x:c>
      <x:c r="C8" s="1" t="str">
        <x:v>個別見積・実契約・利用者入力。初期値は検証用仮定。</x:v>
      </x:c>
      <x:c r="D8" s="1" t="n">
        <x:v>935</x:v>
      </x:c>
      <x:c r="E8" s="1" t="n">
        <x:v>1100</x:v>
      </x:c>
      <x:c r="F8" s="1" t="n">
        <x:v>1265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 ht="24" customHeight="1">
      <x:c r="A9" s="1" t="str">
        <x:v>PV工事税込価格 円</x:v>
      </x:c>
      <x:c r="B9" s="5" t="n">
        <x:v>1450000</x:v>
      </x:c>
      <x:c r="C9" s="1" t="str">
        <x:v>https://www.jpea.gr.jp/faq/589/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 ht="24" customHeight="1">
      <x:c r="A10" s="1" t="str">
        <x:v>電池定格容量kWh</x:v>
      </x:c>
      <x:c r="B10" s="5" t="n">
        <x:v>10</x:v>
      </x:c>
      <x:c r="C10" s="1" t="str">
        <x:v>個別見積・実契約・利用者入力。初期値は検証用仮定。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str">
        <x:v>電池工事税込価格 円</x:v>
      </x:c>
      <x:c r="B11" s="5" t="n">
        <x:v>1800000</x:v>
      </x:c>
      <x:c r="C11" s="1" t="str">
        <x:v>個別見積・実契約・利用者入力。初期値は検証用仮定。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 ht="24" customHeight="1">
      <x:c r="A12" s="1" t="str">
        <x:v>PV確認済補助 円</x:v>
      </x:c>
      <x:c r="B12" s="5" t="n">
        <x:v>0</x:v>
      </x:c>
      <x:c r="C12" s="1" t="str">
        <x:v>https://www.tokyo-co2down.jp/subsidy/fam_solar/r8/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str">
        <x:v>電池確認済補助 円</x:v>
      </x:c>
      <x:c r="B13" s="5" t="n">
        <x:v>0</x:v>
      </x:c>
      <x:c r="C13" s="1" t="str">
        <x:v>https://www.tokyo-co2down.jp/subsidy/family_tikudenchi/r8/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 ht="24" customHeight="1">
      <x:c r="A14" s="1" t="str">
        <x:v>年間需要kWh</x:v>
      </x:c>
      <x:c r="B14" s="5" t="n">
        <x:v>6000</x:v>
      </x:c>
      <x:c r="C14" s="1" t="str">
        <x:v>個別見積・実契約・利用者入力。初期値は検証用仮定。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str">
        <x:v>直接自家消費率</x:v>
      </x:c>
      <x:c r="B15" s="6" t="n">
        <x:v>0.35</x:v>
      </x:c>
      <x:c r="C15" s="1" t="str">
        <x:v>個別見積・実契約・利用者入力。初期値は検証用仮定。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 ht="24" customHeight="1">
      <x:c r="A16" s="1" t="str">
        <x:v>削減対象買電 円/kWh</x:v>
      </x:c>
      <x:c r="B16" s="5" t="n">
        <x:v>35</x:v>
      </x:c>
      <x:c r="C16" s="1" t="str">
        <x:v>個別見積・実契約・利用者入力。初期値は検証用仮定。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str">
        <x:v>買電年変化率</x:v>
      </x:c>
      <x:c r="B17" s="8" t="n">
        <x:f>CHOOSE($B$4,D17,E17,F17)</x:f>
        <x:v>0</x:v>
      </x:c>
      <x:c r="C17" s="1" t="str">
        <x:v>個別見積・実契約・利用者入力。初期値は検証用仮定。</x:v>
      </x:c>
      <x:c r="D17" s="9" t="n">
        <x:v>-0.01</x:v>
      </x:c>
      <x:c r="E17" s="9" t="n">
        <x:v>0</x:v>
      </x:c>
      <x:c r="F17" s="9" t="n">
        <x:v>0.03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str">
        <x:v>PV年劣化率</x:v>
      </x:c>
      <x:c r="B18" s="8" t="n">
        <x:f>CHOOSE($B$4,D18,E18,F18)</x:f>
        <x:v>0.005</x:v>
      </x:c>
      <x:c r="C18" s="1" t="str">
        <x:v>https://www.osti.gov/biblio/1045052</x:v>
      </x:c>
      <x:c r="D18" s="9" t="n">
        <x:v>0.008</x:v>
      </x:c>
      <x:c r="E18" s="9" t="n">
        <x:v>0.005</x:v>
      </x:c>
      <x:c r="F18" s="9" t="n">
        <x:v>0.003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 ht="24" customHeight="1">
      <x:c r="A19" s="1" t="str">
        <x:v>電池年劣化率 仮定</x:v>
      </x:c>
      <x:c r="B19" s="8" t="n">
        <x:f>CHOOSE($B$4,D19,E19,F19)</x:f>
        <x:v>0.02</x:v>
      </x:c>
      <x:c r="C19" s="1" t="str">
        <x:v>個別見積・実契約・利用者入力。初期値は検証用仮定。</x:v>
      </x:c>
      <x:c r="D19" s="9" t="n">
        <x:v>0.035</x:v>
      </x:c>
      <x:c r="E19" s="9" t="n">
        <x:v>0.02</x:v>
      </x:c>
      <x:c r="F19" s="9" t="n">
        <x:v>0.01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 ht="24" customHeight="1">
      <x:c r="A20" s="1" t="str">
        <x:v>往復効率</x:v>
      </x:c>
      <x:c r="B20" s="6" t="n">
        <x:v>0.85</x:v>
      </x:c>
      <x:c r="C20" s="1" t="str">
        <x:v>個別見積・実契約・利用者入力。初期値は検証用仮定。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 ht="24" customHeight="1">
      <x:c r="A21" s="1" t="str">
        <x:v>使用可能容量比</x:v>
      </x:c>
      <x:c r="B21" s="6" t="n">
        <x:v>0.9</x:v>
      </x:c>
      <x:c r="C21" s="1" t="str">
        <x:v>個別見積・実契約・利用者入力。初期値は検証用仮定。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 ht="24" customHeight="1">
      <x:c r="A22" s="1" t="str">
        <x:v>年充電機会 回</x:v>
      </x:c>
      <x:c r="B22" s="7" t="n">
        <x:f>CHOOSE($B$4,D22,E22,F22)</x:f>
        <x:v>250</x:v>
      </x:c>
      <x:c r="C22" s="1" t="str">
        <x:v>個別見積・実契約・利用者入力。初期値は検証用仮定。</x:v>
      </x:c>
      <x:c r="D22" s="1" t="n">
        <x:v>200</x:v>
      </x:c>
      <x:c r="E22" s="1" t="n">
        <x:v>250</x:v>
      </x:c>
      <x:c r="F22" s="1" t="n">
        <x:v>300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 ht="24" customHeight="1">
      <x:c r="A23" s="1" t="str">
        <x:v>季節運用係数 仮定</x:v>
      </x:c>
      <x:c r="B23" s="8" t="n">
        <x:f>CHOOSE($B$4,D23,E23,F23)</x:f>
        <x:v>0.75</x:v>
      </x:c>
      <x:c r="C23" s="1" t="str">
        <x:v>個別見積・実契約・利用者入力。初期値は検証用仮定。</x:v>
      </x:c>
      <x:c r="D23" s="9" t="n">
        <x:v>0.65</x:v>
      </x:c>
      <x:c r="E23" s="9" t="n">
        <x:v>0.75</x:v>
      </x:c>
      <x:c r="F23" s="9" t="n">
        <x:v>0.85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 ht="24" customHeight="1">
      <x:c r="A24" s="1" t="str">
        <x:v>置換可能需要比</x:v>
      </x:c>
      <x:c r="B24" s="6" t="n">
        <x:v>0.65</x:v>
      </x:c>
      <x:c r="C24" s="1" t="str">
        <x:v>個別見積・実契約・利用者入力。初期値は検証用仮定。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 ht="24" customHeight="1">
      <x:c r="A25" s="1" t="str">
        <x:v>新設1～4年売電 円</x:v>
      </x:c>
      <x:c r="B25" s="5" t="n">
        <x:v>24</x:v>
      </x:c>
      <x:c r="C25" s="1" t="str">
        <x:v>https://www.meti.go.jp/press/2025/03/20260319004/20260319004.html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 ht="24" customHeight="1">
      <x:c r="A26" s="1" t="str">
        <x:v>新設5～10年売電 円</x:v>
      </x:c>
      <x:c r="B26" s="5" t="n">
        <x:v>8.3</x:v>
      </x:c>
      <x:c r="C26" s="1" t="str">
        <x:v>個別見積・実契約・利用者入力。初期値は検証用仮定。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 ht="24" customHeight="1">
      <x:c r="A27" s="1" t="str">
        <x:v>卒FIT売電 円 仮定</x:v>
      </x:c>
      <x:c r="B27" s="5" t="n">
        <x:v>8.5</x:v>
      </x:c>
      <x:c r="C27" s="1" t="str">
        <x:v>個別見積・実契約・利用者入力。初期値は検証用仮定。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 ht="24" customHeight="1">
      <x:c r="A28" s="1" t="str">
        <x:v>既設現在売電 円</x:v>
      </x:c>
      <x:c r="B28" s="5" t="n">
        <x:v>8.5</x:v>
      </x:c>
      <x:c r="C28" s="1" t="str">
        <x:v>個別見積・実契約・利用者入力。初期値は検証用仮定。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 ht="24" customHeight="1">
      <x:c r="A29" s="1" t="str">
        <x:v>既設FIT残年数</x:v>
      </x:c>
      <x:c r="B29" s="5" t="n">
        <x:v>0</x:v>
      </x:c>
      <x:c r="C29" s="1" t="str">
        <x:v>個別見積・実契約・利用者入力。初期値は検証用仮定。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 ht="24" customHeight="1">
      <x:c r="A30" s="1" t="str">
        <x:v>PV保守 円/年</x:v>
      </x:c>
      <x:c r="B30" s="5" t="n">
        <x:v>10000</x:v>
      </x:c>
      <x:c r="C30" s="1" t="str">
        <x:v>個別見積・実契約・利用者入力。初期値は検証用仮定。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 ht="24" customHeight="1">
      <x:c r="A31" s="1" t="str">
        <x:v>電池保守 円/年</x:v>
      </x:c>
      <x:c r="B31" s="5" t="n">
        <x:v>3000</x:v>
      </x:c>
      <x:c r="C31" s="1" t="str">
        <x:v>個別見積・実契約・利用者入力。初期値は検証用仮定。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 ht="24" customHeight="1">
      <x:c r="A32" s="1" t="str">
        <x:v>PV-PCS交換 年目</x:v>
      </x:c>
      <x:c r="B32" s="5" t="n">
        <x:v>15</x:v>
      </x:c>
      <x:c r="C32" s="1" t="str">
        <x:v>https://jpn.faq.panasonic.com/app/answers/detail/p/2999/a_id/99595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 ht="24" customHeight="1">
      <x:c r="A33" s="1" t="str">
        <x:v>PV-PCS交換 円 仮定</x:v>
      </x:c>
      <x:c r="B33" s="5" t="n">
        <x:v>350000</x:v>
      </x:c>
      <x:c r="C33" s="1" t="str">
        <x:v>個別見積・実契約・利用者入力。初期値は検証用仮定。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 ht="24" customHeight="1">
      <x:c r="A34" s="1" t="str">
        <x:v>電池交換停止 年</x:v>
      </x:c>
      <x:c r="B34" s="5" t="n">
        <x:v>15</x:v>
      </x:c>
      <x:c r="C34" s="1" t="str">
        <x:v>個別見積・実契約・利用者入力。初期値は検証用仮定。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 ht="24" customHeight="1">
      <x:c r="A35" s="1" t="str">
        <x:v>電池交換 円 0なら停止</x:v>
      </x:c>
      <x:c r="B35" s="5" t="n">
        <x:v>1000000</x:v>
      </x:c>
      <x:c r="C35" s="1" t="str">
        <x:v>個別見積・実契約・利用者入力。初期値は検証用仮定。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 ht="24" customHeight="1">
      <x:c r="A36" s="1" t="str">
        <x:v>PV最終撤去 円 仮定</x:v>
      </x:c>
      <x:c r="B36" s="5" t="n">
        <x:v>100000</x:v>
      </x:c>
      <x:c r="C36" s="1" t="str">
        <x:v>個別見積・実契約・利用者入力。初期値は検証用仮定。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 ht="24" customHeight="1">
      <x:c r="A37" s="1" t="str">
        <x:v>電池最終撤去 円 仮定</x:v>
      </x:c>
      <x:c r="B37" s="5" t="n">
        <x:v>50000</x:v>
      </x:c>
      <x:c r="C37" s="1" t="str">
        <x:v>個別見積・実契約・利用者入力。初期値は検証用仮定。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 ht="24" customHeight="1">
      <x:c r="A38" s="1" t="str">
        <x:v>評価年数</x:v>
      </x:c>
      <x:c r="B38" s="5" t="n">
        <x:v>25</x:v>
      </x:c>
      <x:c r="C38" s="1" t="str">
        <x:v>個別見積・実契約・利用者入力。初期値は検証用仮定。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 ht="24" customHeight="1">
      <x:c r="A39" s="1" t="str">
        <x:v>割引率</x:v>
      </x:c>
      <x:c r="B39" s="6" t="n">
        <x:v>0.02</x:v>
      </x:c>
      <x:c r="C39" s="1" t="str">
        <x:v>個別見積・実契約・利用者入力。初期値は検証用仮定。</x:v>
      </x:c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 ht="24" customHeight="1">
      <x:c r="A40" s="1" t="str">
        <x:v>借入比率</x:v>
      </x:c>
      <x:c r="B40" s="6" t="n">
        <x:v>0</x:v>
      </x:c>
      <x:c r="C40" s="1" t="str">
        <x:v>個別見積・実契約・利用者入力。初期値は検証用仮定。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 ht="24" customHeight="1">
      <x:c r="A41" s="1" t="str">
        <x:v>借入年利 仮定</x:v>
      </x:c>
      <x:c r="B41" s="6" t="n">
        <x:v>0.03</x:v>
      </x:c>
      <x:c r="C41" s="1" t="str">
        <x:v>個別見積・実契約・利用者入力。初期値は検証用仮定。</x:v>
      </x:c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 ht="24" customHeight="1">
      <x:c r="A42" s="1" t="str">
        <x:v>借入年数</x:v>
      </x:c>
      <x:c r="B42" s="5" t="n">
        <x:v>15</x:v>
      </x:c>
      <x:c r="C42" s="1" t="str">
        <x:v>個別見積・実契約・利用者入力。初期値は検証用仮定。</x:v>
      </x:c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 ht="24" customHeight="1">
      <x:c r="A43" s="1" t="str">
        <x:v>PVなし充電買電 円</x:v>
      </x:c>
      <x:c r="B43" s="5" t="n">
        <x:v>20</x:v>
      </x:c>
      <x:c r="C43" s="1" t="str">
        <x:v>個別見積・実契約・利用者入力。初期値は検証用仮定。</x:v>
      </x:c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 t="str">
        <x:v>補助・税区分</x:v>
      </x:c>
      <x:c r="B46" s="1" t="str">
        <x:v>導入価格は税込、補助金は適格な交付見込額</x:v>
      </x:c>
      <x:c r="C46" s="1" t="str">
        <x:v>2027未確認補助は確定欄に算入しない</x:v>
      </x:c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 t="str">
        <x:v>国DR補助</x:v>
      </x:c>
      <x:c r="B47" s="1" t="str">
        <x:v>2026-05-29公募終了</x:v>
      </x:c>
      <x:c r="C47" s="1" t="str">
        <x:v>https://dr-battery.sii.or.jp/r7h/about/</x:v>
      </x:c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 t="str">
        <x:v>期間</x:v>
      </x:c>
      <x:c r="B48" s="1" t="str">
        <x:v>評価期間内の交換・撤去を含む</x:v>
      </x:c>
      <x:c r="C48" s="1" t="str">
        <x:v>借入期間は評価期間以下にする</x:v>
      </x:c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 t="str">
        <x:v>モデル</x:v>
      </x:c>
      <x:c r="B49" s="1" t="str">
        <x:v>v1.0.0 / 2026-10-03</x:v>
      </x:c>
      <x:c r="C49" s="1" t="str">
        <x:v>正式エネがえる診断ではない年次概算</x:v>
      </x:c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 t="str">
        <x:v>季節運用</x:v>
      </x:c>
      <x:c r="B50" s="1" t="str">
        <x:v>年次上限計算・時間帯制約は未再現</x:v>
      </x:c>
      <x:c r="C50" s="1" t="str">
        <x:v>日射・生活パターン別の詳細診断で確認</x:v>
      </x:c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dataValidations count="2">
    <x:dataValidation type="list" sqref="B3">
      <x:formula1>"1,2,3,4"</x:formula1>
    </x:dataValidation>
    <x:dataValidation type="list" sqref="B4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2" t="str">
        <x:v>年次計算：電力量と投資・家計収支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 ht="24" customHeight="1">
      <x:c r="A3" s="1" t="str">
        <x:v>補助後初期投資 円</x:v>
      </x:c>
      <x:c r="B3" s="1" t="n">
        <x:f>IF(OR('入力'!$B$3=1,'入力'!$B$3=2),'入力'!$B$9-'入力'!$B$12,0)+IF('入力'!$B$3&gt;1,'入力'!$B$11-'入力'!$B$13,0)</x:f>
        <x:v>3250000</x:v>
      </x:c>
      <x:c r="C3" s="1"/>
      <x:c r="D3" s="1" t="str">
        <x:v>借入額 円</x:v>
      </x:c>
      <x:c r="E3" s="1" t="n">
        <x:f>B3*'入力'!$B$40</x:f>
        <x:v>0</x:v>
      </x:c>
      <x:c r="F3" s="1"/>
      <x:c r="G3" s="1" t="str">
        <x:v>月返済 円</x:v>
      </x:c>
      <x:c r="H3" s="1" t="n">
        <x:f>IF(E3=0,0,IF('入力'!$B$41=0,E3/('入力'!$B$42*12),E3*('入力'!$B$41/12)/(1-(1+'入力'!$B$41/12)^(-'入力'!$B$42*12))))</x:f>
        <x:v>0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48" customHeight="1">
      <x:c r="A6" s="12" t="str">
        <x:v>年</x:v>
      </x:c>
      <x:c r="B6" s="12" t="str">
        <x:v>発電kWh</x:v>
      </x:c>
      <x:c r="C6" s="12" t="str">
        <x:v>直接使用kWh</x:v>
      </x:c>
      <x:c r="D6" s="12" t="str">
        <x:v>余剰kWh</x:v>
      </x:c>
      <x:c r="E6" s="12" t="str">
        <x:v>買電円/kWh</x:v>
      </x:c>
      <x:c r="F6" s="12" t="str">
        <x:v>売電円/kWh</x:v>
      </x:c>
      <x:c r="G6" s="12" t="str">
        <x:v>電池経過年</x:v>
      </x:c>
      <x:c r="H6" s="12" t="str">
        <x:v>使用可能kWh</x:v>
      </x:c>
      <x:c r="I6" s="12" t="str">
        <x:v>充電kWh</x:v>
      </x:c>
      <x:c r="J6" s="12" t="str">
        <x:v>放電kWh</x:v>
      </x:c>
      <x:c r="K6" s="12" t="str">
        <x:v>損失kWh</x:v>
      </x:c>
      <x:c r="L6" s="12" t="str">
        <x:v>PV便益円</x:v>
      </x:c>
      <x:c r="M6" s="12" t="str">
        <x:v>電池便益円</x:v>
      </x:c>
      <x:c r="N6" s="12" t="str">
        <x:v>合計便益円</x:v>
      </x:c>
      <x:c r="O6" s="12" t="str">
        <x:v>保守円</x:v>
      </x:c>
      <x:c r="P6" s="12" t="str">
        <x:v>交換円</x:v>
      </x:c>
      <x:c r="Q6" s="12" t="str">
        <x:v>撤去円</x:v>
      </x:c>
      <x:c r="R6" s="12" t="str">
        <x:v>投資CF円</x:v>
      </x:c>
      <x:c r="S6" s="12" t="str">
        <x:v>累計CF円</x:v>
      </x:c>
      <x:c r="T6" s="12" t="str">
        <x:v>割引CF円</x:v>
      </x:c>
      <x:c r="U6" s="12" t="str">
        <x:v>家計CF円</x:v>
      </x:c>
      <x:c r="V6" s="12" t="str">
        <x:v>家計累計円</x:v>
      </x:c>
      <x:c r="W6" s="12" t="str">
        <x:v>継続回収候補</x:v>
      </x:c>
      <x:c r="X6" s="1"/>
      <x:c r="Y6" s="1"/>
      <x:c r="Z6" s="1"/>
      <x:c r="AA6" s="1"/>
      <x:c r="AB6" s="1"/>
      <x:c r="AC6" s="1"/>
      <x:c r="AD6" s="1"/>
    </x:row>
    <x:row r="7" ht="24" customHeight="1">
      <x:c r="A7" s="1" t="n">
        <x:v>0</x:v>
      </x:c>
      <x:c r="B7" s="13" t="n">
        <x:v>0</x:v>
      </x:c>
      <x:c r="C7" s="13" t="n">
        <x:v>0</x:v>
      </x:c>
      <x:c r="D7" s="13" t="n">
        <x:v>0</x:v>
      </x:c>
      <x:c r="E7" s="13" t="n">
        <x:v>0</x:v>
      </x:c>
      <x:c r="F7" s="13" t="n">
        <x:v>0</x:v>
      </x:c>
      <x:c r="G7" s="13" t="n">
        <x:v>0</x:v>
      </x:c>
      <x:c r="H7" s="13" t="n">
        <x:v>0</x:v>
      </x:c>
      <x:c r="I7" s="13" t="n">
        <x:v>0</x:v>
      </x:c>
      <x:c r="J7" s="13" t="n">
        <x:v>0</x:v>
      </x:c>
      <x:c r="K7" s="13" t="n">
        <x:v>0</x:v>
      </x:c>
      <x:c r="L7" s="13" t="n">
        <x:v>0</x:v>
      </x:c>
      <x:c r="M7" s="13" t="n">
        <x:v>0</x:v>
      </x:c>
      <x:c r="N7" s="13" t="n">
        <x:v>0</x:v>
      </x:c>
      <x:c r="O7" s="13" t="n">
        <x:v>0</x:v>
      </x:c>
      <x:c r="P7" s="13" t="n">
        <x:v>0</x:v>
      </x:c>
      <x:c r="Q7" s="13" t="n">
        <x:v>0</x:v>
      </x:c>
      <x:c r="R7" s="13" t="n">
        <x:f>-$B$3</x:f>
        <x:v>-3250000</x:v>
      </x:c>
      <x:c r="S7" s="13" t="n">
        <x:f>-$B$3</x:f>
        <x:v>-3250000</x:v>
      </x:c>
      <x:c r="T7" s="13" t="n">
        <x:f>-$B$3</x:f>
        <x:v>-3250000</x:v>
      </x:c>
      <x:c r="U7" s="13" t="n">
        <x:f>-$B$3+$E$3</x:f>
        <x:v>-3250000</x:v>
      </x:c>
      <x:c r="V7" s="13" t="n">
        <x:f>-$B$3+$E$3</x:f>
        <x:v>-3250000</x:v>
      </x:c>
      <x:c r="W7" s="1" t="n">
        <x:v>999</x:v>
      </x:c>
      <x:c r="X7" s="1"/>
      <x:c r="Y7" s="1"/>
      <x:c r="Z7" s="1"/>
      <x:c r="AA7" s="1"/>
      <x:c r="AB7" s="1"/>
      <x:c r="AC7" s="1"/>
      <x:c r="AD7" s="1"/>
    </x:row>
    <x:row r="8" ht="24" customHeight="1">
      <x:c r="A8" s="1" t="n">
        <x:f>1</x:f>
        <x:v>1</x:v>
      </x:c>
      <x:c r="B8" s="13" t="n">
        <x:f>IF(A8&lt;='入力'!$B$38,IF('入力'!$B$3=4,0,'入力'!$B$7*'入力'!$B$8*(1-'入力'!$B$18)^(A8-1)),0)</x:f>
        <x:v>5500</x:v>
      </x:c>
      <x:c r="C8" s="13" t="n">
        <x:f>MIN(B8*'入力'!$B$15,'入力'!$B$14)</x:f>
        <x:v>1924.9999999999998</x:v>
      </x:c>
      <x:c r="D8" s="13" t="n">
        <x:f>MAX(0,B8-C8)</x:f>
        <x:v>3575</x:v>
      </x:c>
      <x:c r="E8" s="13" t="n">
        <x:f>IF(A8&lt;='入力'!$B$38,'入力'!$B$16*(1+'入力'!$B$17)^(A8-1),0)</x:f>
        <x:v>35</x:v>
      </x:c>
      <x:c r="F8" s="13" t="n">
        <x:f>IF(OR('入力'!$B$3=1,'入力'!$B$3=2),IF(A8&lt;=4,'入力'!$B$25,IF(A8&lt;=10,'入力'!$B$26,'入力'!$B$27)),IF(A8&lt;='入力'!$B$29,'入力'!$B$28,'入力'!$B$27))</x:f>
        <x:v>24</x:v>
      </x:c>
      <x:c r="G8" s="13" t="n">
        <x:f>MOD(A8-1,'入力'!$B$34)</x:f>
        <x:v>0</x:v>
      </x:c>
      <x:c r="H8" s="13" t="n">
        <x:f>IF(AND(A8&lt;='入力'!$B$38,AND('入力'!$B$3&gt;1,OR(A8&lt;='入力'!$B$34,'入力'!$B$35&gt;0))),'入力'!$B$10*'入力'!$B$21*(1-'入力'!$B$19)^G8,0)</x:f>
        <x:v>9</x:v>
      </x:c>
      <x:c r="I8" s="13" t="n">
        <x:f>IF(AND(A8&lt;='入力'!$B$38,E8*'入力'!$B$20&gt;IF('入力'!$B$3=4,'入力'!$B$43*(1+'入力'!$B$17)^(A8-1),F8)),MIN(IF('入力'!$B$3=4,1E20,D8),H8*'入力'!$B$22*'入力'!$B$23,IF('入力'!$B$3=4,'入力'!$B$14,MIN(MAX(0,'入力'!$B$14-C8),'入力'!$B$14*'入力'!$B$24))/'入力'!$B$20),0)</x:f>
        <x:v>1687.5</x:v>
      </x:c>
      <x:c r="J8" s="13" t="n">
        <x:f>I8*'入力'!$B$20</x:f>
        <x:v>1434.375</x:v>
      </x:c>
      <x:c r="K8" s="13" t="n">
        <x:f>I8-J8</x:f>
        <x:v>253.125</x:v>
      </x:c>
      <x:c r="L8" s="13" t="n">
        <x:f>C8*E8+D8*F8</x:f>
        <x:v>153175</x:v>
      </x:c>
      <x:c r="M8" s="13" t="n">
        <x:f>J8*E8-I8*IF('入力'!$B$3=4,'入力'!$B$43*(1+'入力'!$B$17)^(A8-1),F8)</x:f>
        <x:v>9703.125</x:v>
      </x:c>
      <x:c r="N8" s="13" t="n">
        <x:f>IF(OR('入力'!$B$3=1,'入力'!$B$3=2),L8,0)+M8</x:f>
        <x:v>162878.125</x:v>
      </x:c>
      <x:c r="O8" s="13" t="n">
        <x:f>IF(A8&lt;='入力'!$B$38,IF(OR('入力'!$B$3=1,'入力'!$B$3=2),'入力'!$B$30,0)+IF(AND('入力'!$B$3&gt;1,OR(A8&lt;='入力'!$B$34,'入力'!$B$35&gt;0)),'入力'!$B$31,0),0)</x:f>
        <x:v>13000</x:v>
      </x:c>
      <x:c r="P8" s="13" t="n">
        <x:f>IF(A8&lt;='入力'!$B$38,IF(AND(OR('入力'!$B$3=1,'入力'!$B$3=2),A8='入力'!$B$32),'入力'!$B$33,0)+IF(AND('入力'!$B$3&gt;1,'入力'!$B$35&gt;0,A8&gt;'入力'!$B$34,MOD(A8-1,'入力'!$B$34)=0),'入力'!$B$35,0),0)</x:f>
        <x:v>0</x:v>
      </x:c>
      <x:c r="Q8" s="13" t="n">
        <x:f>IF(A8='入力'!$B$38,IF(OR('入力'!$B$3=1,'入力'!$B$3=2),'入力'!$B$36,0)+IF('入力'!$B$3&gt;1,'入力'!$B$37,0),0)</x:f>
        <x:v>0</x:v>
      </x:c>
      <x:c r="R8" s="13" t="n">
        <x:f>N8-SUM(O8:Q8)</x:f>
        <x:v>149878.125</x:v>
      </x:c>
      <x:c r="S8" s="13" t="n">
        <x:f>S7+R8</x:f>
        <x:v>-3100121.875</x:v>
      </x:c>
      <x:c r="T8" s="13" t="n">
        <x:f>R8/(1+'入力'!$B$39)^A8</x:f>
        <x:v>146939.33823529413</x:v>
      </x:c>
      <x:c r="U8" s="13" t="n">
        <x:f>R8-IF(AND(A8&lt;='入力'!$B$38,A8&lt;='入力'!$B$42),$H$3*12,0)</x:f>
        <x:v>149878.125</x:v>
      </x:c>
      <x:c r="V8" s="13" t="n">
        <x:f>V7+U8</x:f>
        <x:v>-3100121.875</x:v>
      </x:c>
      <x:c r="W8" s="1" t="n">
        <x:f>IF(AND(A8&lt;='入力'!$B$38,S8&gt;=0,MIN(S8:$S$42)&gt;=0),A8,999)</x:f>
        <x:v>999</x:v>
      </x:c>
      <x:c r="X8" s="1"/>
      <x:c r="Y8" s="1"/>
      <x:c r="Z8" s="1"/>
      <x:c r="AA8" s="1"/>
      <x:c r="AB8" s="1"/>
      <x:c r="AC8" s="1"/>
      <x:c r="AD8" s="1"/>
    </x:row>
    <x:row r="9" ht="24" customHeight="1">
      <x:c r="A9" s="1" t="n">
        <x:f>2</x:f>
        <x:v>2</x:v>
      </x:c>
      <x:c r="B9" s="13" t="n">
        <x:f>IF(A9&lt;='入力'!$B$38,IF('入力'!$B$3=4,0,'入力'!$B$7*'入力'!$B$8*(1-'入力'!$B$18)^(A9-1)),0)</x:f>
        <x:v>5472.5</x:v>
      </x:c>
      <x:c r="C9" s="13" t="n">
        <x:f>MIN(B9*'入力'!$B$15,'入力'!$B$14)</x:f>
        <x:v>1915.3749999999998</x:v>
      </x:c>
      <x:c r="D9" s="13" t="n">
        <x:f>MAX(0,B9-C9)</x:f>
        <x:v>3557.125</x:v>
      </x:c>
      <x:c r="E9" s="13" t="n">
        <x:f>IF(A9&lt;='入力'!$B$38,'入力'!$B$16*(1+'入力'!$B$17)^(A9-1),0)</x:f>
        <x:v>35</x:v>
      </x:c>
      <x:c r="F9" s="13" t="n">
        <x:f>IF(OR('入力'!$B$3=1,'入力'!$B$3=2),IF(A9&lt;=4,'入力'!$B$25,IF(A9&lt;=10,'入力'!$B$26,'入力'!$B$27)),IF(A9&lt;='入力'!$B$29,'入力'!$B$28,'入力'!$B$27))</x:f>
        <x:v>24</x:v>
      </x:c>
      <x:c r="G9" s="13" t="n">
        <x:f>MOD(A9-1,'入力'!$B$34)</x:f>
        <x:v>1</x:v>
      </x:c>
      <x:c r="H9" s="13" t="n">
        <x:f>IF(AND(A9&lt;='入力'!$B$38,AND('入力'!$B$3&gt;1,OR(A9&lt;='入力'!$B$34,'入力'!$B$35&gt;0))),'入力'!$B$10*'入力'!$B$21*(1-'入力'!$B$19)^G9,0)</x:f>
        <x:v>8.82</x:v>
      </x:c>
      <x:c r="I9" s="13" t="n">
        <x:f>IF(AND(A9&lt;='入力'!$B$38,E9*'入力'!$B$20&gt;IF('入力'!$B$3=4,'入力'!$B$43*(1+'入力'!$B$17)^(A9-1),F9)),MIN(IF('入力'!$B$3=4,1E20,D9),H9*'入力'!$B$22*'入力'!$B$23,IF('入力'!$B$3=4,'入力'!$B$14,MIN(MAX(0,'入力'!$B$14-C9),'入力'!$B$14*'入力'!$B$24))/'入力'!$B$20),0)</x:f>
        <x:v>1653.75</x:v>
      </x:c>
      <x:c r="J9" s="13" t="n">
        <x:f>I9*'入力'!$B$20</x:f>
        <x:v>1405.6875</x:v>
      </x:c>
      <x:c r="K9" s="13" t="n">
        <x:f>I9-J9</x:f>
        <x:v>248.0625</x:v>
      </x:c>
      <x:c r="L9" s="13" t="n">
        <x:f>C9*E9+D9*F9</x:f>
        <x:v>152409.125</x:v>
      </x:c>
      <x:c r="M9" s="13" t="n">
        <x:f>J9*E9-I9*IF('入力'!$B$3=4,'入力'!$B$43*(1+'入力'!$B$17)^(A9-1),F9)</x:f>
        <x:v>9509.0625</x:v>
      </x:c>
      <x:c r="N9" s="13" t="n">
        <x:f>IF(OR('入力'!$B$3=1,'入力'!$B$3=2),L9,0)+M9</x:f>
        <x:v>161918.1875</x:v>
      </x:c>
      <x:c r="O9" s="13" t="n">
        <x:f>IF(A9&lt;='入力'!$B$38,IF(OR('入力'!$B$3=1,'入力'!$B$3=2),'入力'!$B$30,0)+IF(AND('入力'!$B$3&gt;1,OR(A9&lt;='入力'!$B$34,'入力'!$B$35&gt;0)),'入力'!$B$31,0),0)</x:f>
        <x:v>13000</x:v>
      </x:c>
      <x:c r="P9" s="13" t="n">
        <x:f>IF(A9&lt;='入力'!$B$38,IF(AND(OR('入力'!$B$3=1,'入力'!$B$3=2),A9='入力'!$B$32),'入力'!$B$33,0)+IF(AND('入力'!$B$3&gt;1,'入力'!$B$35&gt;0,A9&gt;'入力'!$B$34,MOD(A9-1,'入力'!$B$34)=0),'入力'!$B$35,0),0)</x:f>
        <x:v>0</x:v>
      </x:c>
      <x:c r="Q9" s="13" t="n">
        <x:f>IF(A9='入力'!$B$38,IF(OR('入力'!$B$3=1,'入力'!$B$3=2),'入力'!$B$36,0)+IF('入力'!$B$3&gt;1,'入力'!$B$37,0),0)</x:f>
        <x:v>0</x:v>
      </x:c>
      <x:c r="R9" s="13" t="n">
        <x:f>N9-SUM(O9:Q9)</x:f>
        <x:v>148918.1875</x:v>
      </x:c>
      <x:c r="S9" s="13" t="n">
        <x:f>S8+R9</x:f>
        <x:v>-2951203.6875</x:v>
      </x:c>
      <x:c r="T9" s="13" t="n">
        <x:f>R9/(1+'入力'!$B$39)^A9</x:f>
        <x:v>143135.51278354478</x:v>
      </x:c>
      <x:c r="U9" s="13" t="n">
        <x:f>R9-IF(AND(A9&lt;='入力'!$B$38,A9&lt;='入力'!$B$42),$H$3*12,0)</x:f>
        <x:v>148918.1875</x:v>
      </x:c>
      <x:c r="V9" s="13" t="n">
        <x:f>V8+U9</x:f>
        <x:v>-2951203.6875</x:v>
      </x:c>
      <x:c r="W9" s="1" t="n">
        <x:f>IF(AND(A9&lt;='入力'!$B$38,S9&gt;=0,MIN(S9:$S$42)&gt;=0),A9,999)</x:f>
        <x:v>999</x:v>
      </x:c>
      <x:c r="X9" s="1"/>
      <x:c r="Y9" s="1"/>
      <x:c r="Z9" s="1"/>
      <x:c r="AA9" s="1"/>
      <x:c r="AB9" s="1"/>
      <x:c r="AC9" s="1"/>
      <x:c r="AD9" s="1"/>
    </x:row>
    <x:row r="10" ht="24" customHeight="1">
      <x:c r="A10" s="1" t="n">
        <x:f>3</x:f>
        <x:v>3</x:v>
      </x:c>
      <x:c r="B10" s="13" t="n">
        <x:f>IF(A10&lt;='入力'!$B$38,IF('入力'!$B$3=4,0,'入力'!$B$7*'入力'!$B$8*(1-'入力'!$B$18)^(A10-1)),0)</x:f>
        <x:v>5445.1375</x:v>
      </x:c>
      <x:c r="C10" s="13" t="n">
        <x:f>MIN(B10*'入力'!$B$15,'入力'!$B$14)</x:f>
        <x:v>1905.7981249999998</x:v>
      </x:c>
      <x:c r="D10" s="13" t="n">
        <x:f>MAX(0,B10-C10)</x:f>
        <x:v>3539.339375</x:v>
      </x:c>
      <x:c r="E10" s="13" t="n">
        <x:f>IF(A10&lt;='入力'!$B$38,'入力'!$B$16*(1+'入力'!$B$17)^(A10-1),0)</x:f>
        <x:v>35</x:v>
      </x:c>
      <x:c r="F10" s="13" t="n">
        <x:f>IF(OR('入力'!$B$3=1,'入力'!$B$3=2),IF(A10&lt;=4,'入力'!$B$25,IF(A10&lt;=10,'入力'!$B$26,'入力'!$B$27)),IF(A10&lt;='入力'!$B$29,'入力'!$B$28,'入力'!$B$27))</x:f>
        <x:v>24</x:v>
      </x:c>
      <x:c r="G10" s="13" t="n">
        <x:f>MOD(A10-1,'入力'!$B$34)</x:f>
        <x:v>2</x:v>
      </x:c>
      <x:c r="H10" s="13" t="n">
        <x:f>IF(AND(A10&lt;='入力'!$B$38,AND('入力'!$B$3&gt;1,OR(A10&lt;='入力'!$B$34,'入力'!$B$35&gt;0))),'入力'!$B$10*'入力'!$B$21*(1-'入力'!$B$19)^G10,0)</x:f>
        <x:v>8.6436</x:v>
      </x:c>
      <x:c r="I10" s="13" t="n">
        <x:f>IF(AND(A10&lt;='入力'!$B$38,E10*'入力'!$B$20&gt;IF('入力'!$B$3=4,'入力'!$B$43*(1+'入力'!$B$17)^(A10-1),F10)),MIN(IF('入力'!$B$3=4,1E20,D10),H10*'入力'!$B$22*'入力'!$B$23,IF('入力'!$B$3=4,'入力'!$B$14,MIN(MAX(0,'入力'!$B$14-C10),'入力'!$B$14*'入力'!$B$24))/'入力'!$B$20),0)</x:f>
        <x:v>1620.6749999999997</x:v>
      </x:c>
      <x:c r="J10" s="13" t="n">
        <x:f>I10*'入力'!$B$20</x:f>
        <x:v>1377.5737499999998</x:v>
      </x:c>
      <x:c r="K10" s="13" t="n">
        <x:f>I10-J10</x:f>
        <x:v>243.10124999999994</x:v>
      </x:c>
      <x:c r="L10" s="13" t="n">
        <x:f>C10*E10+D10*F10</x:f>
        <x:v>151647.079375</x:v>
      </x:c>
      <x:c r="M10" s="13" t="n">
        <x:f>J10*E10-I10*IF('入力'!$B$3=4,'入力'!$B$43*(1+'入力'!$B$17)^(A10-1),F10)</x:f>
        <x:v>9318.881249999999</x:v>
      </x:c>
      <x:c r="N10" s="13" t="n">
        <x:f>IF(OR('入力'!$B$3=1,'入力'!$B$3=2),L10,0)+M10</x:f>
        <x:v>160965.960625</x:v>
      </x:c>
      <x:c r="O10" s="13" t="n">
        <x:f>IF(A10&lt;='入力'!$B$38,IF(OR('入力'!$B$3=1,'入力'!$B$3=2),'入力'!$B$30,0)+IF(AND('入力'!$B$3&gt;1,OR(A10&lt;='入力'!$B$34,'入力'!$B$35&gt;0)),'入力'!$B$31,0),0)</x:f>
        <x:v>13000</x:v>
      </x:c>
      <x:c r="P10" s="13" t="n">
        <x:f>IF(A10&lt;='入力'!$B$38,IF(AND(OR('入力'!$B$3=1,'入力'!$B$3=2),A10='入力'!$B$32),'入力'!$B$33,0)+IF(AND('入力'!$B$3&gt;1,'入力'!$B$35&gt;0,A10&gt;'入力'!$B$34,MOD(A10-1,'入力'!$B$34)=0),'入力'!$B$35,0),0)</x:f>
        <x:v>0</x:v>
      </x:c>
      <x:c r="Q10" s="13" t="n">
        <x:f>IF(A10='入力'!$B$38,IF(OR('入力'!$B$3=1,'入力'!$B$3=2),'入力'!$B$36,0)+IF('入力'!$B$3&gt;1,'入力'!$B$37,0),0)</x:f>
        <x:v>0</x:v>
      </x:c>
      <x:c r="R10" s="13" t="n">
        <x:f>N10-SUM(O10:Q10)</x:f>
        <x:v>147965.960625</x:v>
      </x:c>
      <x:c r="S10" s="13" t="n">
        <x:f>S9+R10</x:f>
        <x:v>-2803237.726875</x:v>
      </x:c>
      <x:c r="T10" s="13" t="n">
        <x:f>R10/(1+'入力'!$B$39)^A10</x:f>
        <x:v>139431.62944964605</x:v>
      </x:c>
      <x:c r="U10" s="13" t="n">
        <x:f>R10-IF(AND(A10&lt;='入力'!$B$38,A10&lt;='入力'!$B$42),$H$3*12,0)</x:f>
        <x:v>147965.960625</x:v>
      </x:c>
      <x:c r="V10" s="13" t="n">
        <x:f>V9+U10</x:f>
        <x:v>-2803237.726875</x:v>
      </x:c>
      <x:c r="W10" s="1" t="n">
        <x:f>IF(AND(A10&lt;='入力'!$B$38,S10&gt;=0,MIN(S10:$S$42)&gt;=0),A10,999)</x:f>
        <x:v>999</x:v>
      </x:c>
      <x:c r="X10" s="1"/>
      <x:c r="Y10" s="1"/>
      <x:c r="Z10" s="1"/>
      <x:c r="AA10" s="1"/>
      <x:c r="AB10" s="1"/>
      <x:c r="AC10" s="1"/>
      <x:c r="AD10" s="1"/>
    </x:row>
    <x:row r="11" ht="24" customHeight="1">
      <x:c r="A11" s="1" t="n">
        <x:f>4</x:f>
        <x:v>4</x:v>
      </x:c>
      <x:c r="B11" s="13" t="n">
        <x:f>IF(A11&lt;='入力'!$B$38,IF('入力'!$B$3=4,0,'入力'!$B$7*'入力'!$B$8*(1-'入力'!$B$18)^(A11-1)),0)</x:f>
        <x:v>5417.9118125</x:v>
      </x:c>
      <x:c r="C11" s="13" t="n">
        <x:f>MIN(B11*'入力'!$B$15,'入力'!$B$14)</x:f>
        <x:v>1896.269134375</x:v>
      </x:c>
      <x:c r="D11" s="13" t="n">
        <x:f>MAX(0,B11-C11)</x:f>
        <x:v>3521.642678125</x:v>
      </x:c>
      <x:c r="E11" s="13" t="n">
        <x:f>IF(A11&lt;='入力'!$B$38,'入力'!$B$16*(1+'入力'!$B$17)^(A11-1),0)</x:f>
        <x:v>35</x:v>
      </x:c>
      <x:c r="F11" s="13" t="n">
        <x:f>IF(OR('入力'!$B$3=1,'入力'!$B$3=2),IF(A11&lt;=4,'入力'!$B$25,IF(A11&lt;=10,'入力'!$B$26,'入力'!$B$27)),IF(A11&lt;='入力'!$B$29,'入力'!$B$28,'入力'!$B$27))</x:f>
        <x:v>24</x:v>
      </x:c>
      <x:c r="G11" s="13" t="n">
        <x:f>MOD(A11-1,'入力'!$B$34)</x:f>
        <x:v>3</x:v>
      </x:c>
      <x:c r="H11" s="13" t="n">
        <x:f>IF(AND(A11&lt;='入力'!$B$38,AND('入力'!$B$3&gt;1,OR(A11&lt;='入力'!$B$34,'入力'!$B$35&gt;0))),'入力'!$B$10*'入力'!$B$21*(1-'入力'!$B$19)^G11,0)</x:f>
        <x:v>8.470728</x:v>
      </x:c>
      <x:c r="I11" s="13" t="n">
        <x:f>IF(AND(A11&lt;='入力'!$B$38,E11*'入力'!$B$20&gt;IF('入力'!$B$3=4,'入力'!$B$43*(1+'入力'!$B$17)^(A11-1),F11)),MIN(IF('入力'!$B$3=4,1E20,D11),H11*'入力'!$B$22*'入力'!$B$23,IF('入力'!$B$3=4,'入力'!$B$14,MIN(MAX(0,'入力'!$B$14-C11),'入力'!$B$14*'入力'!$B$24))/'入力'!$B$20),0)</x:f>
        <x:v>1588.2614999999998</x:v>
      </x:c>
      <x:c r="J11" s="13" t="n">
        <x:f>I11*'入力'!$B$20</x:f>
        <x:v>1350.0222749999998</x:v>
      </x:c>
      <x:c r="K11" s="13" t="n">
        <x:f>I11-J11</x:f>
        <x:v>238.23922500000003</x:v>
      </x:c>
      <x:c r="L11" s="13" t="n">
        <x:f>C11*E11+D11*F11</x:f>
        <x:v>150888.84397812502</x:v>
      </x:c>
      <x:c r="M11" s="13" t="n">
        <x:f>J11*E11-I11*IF('入力'!$B$3=4,'入力'!$B$43*(1+'入力'!$B$17)^(A11-1),F11)</x:f>
        <x:v>9132.503624999998</x:v>
      </x:c>
      <x:c r="N11" s="13" t="n">
        <x:f>IF(OR('入力'!$B$3=1,'入力'!$B$3=2),L11,0)+M11</x:f>
        <x:v>160021.34760312503</x:v>
      </x:c>
      <x:c r="O11" s="13" t="n">
        <x:f>IF(A11&lt;='入力'!$B$38,IF(OR('入力'!$B$3=1,'入力'!$B$3=2),'入力'!$B$30,0)+IF(AND('入力'!$B$3&gt;1,OR(A11&lt;='入力'!$B$34,'入力'!$B$35&gt;0)),'入力'!$B$31,0),0)</x:f>
        <x:v>13000</x:v>
      </x:c>
      <x:c r="P11" s="13" t="n">
        <x:f>IF(A11&lt;='入力'!$B$38,IF(AND(OR('入力'!$B$3=1,'入力'!$B$3=2),A11='入力'!$B$32),'入力'!$B$33,0)+IF(AND('入力'!$B$3&gt;1,'入力'!$B$35&gt;0,A11&gt;'入力'!$B$34,MOD(A11-1,'入力'!$B$34)=0),'入力'!$B$35,0),0)</x:f>
        <x:v>0</x:v>
      </x:c>
      <x:c r="Q11" s="13" t="n">
        <x:f>IF(A11='入力'!$B$38,IF(OR('入力'!$B$3=1,'入力'!$B$3=2),'入力'!$B$36,0)+IF('入力'!$B$3&gt;1,'入力'!$B$37,0),0)</x:f>
        <x:v>0</x:v>
      </x:c>
      <x:c r="R11" s="13" t="n">
        <x:f>N11-SUM(O11:Q11)</x:f>
        <x:v>147021.34760312503</x:v>
      </x:c>
      <x:c r="S11" s="13" t="n">
        <x:f>S10+R11</x:f>
        <x:v>-2656216.379271875</x:v>
      </x:c>
      <x:c r="T11" s="13" t="n">
        <x:f>R11/(1+'入力'!$B$39)^A11</x:f>
        <x:v>135824.99951140129</x:v>
      </x:c>
      <x:c r="U11" s="13" t="n">
        <x:f>R11-IF(AND(A11&lt;='入力'!$B$38,A11&lt;='入力'!$B$42),$H$3*12,0)</x:f>
        <x:v>147021.34760312503</x:v>
      </x:c>
      <x:c r="V11" s="13" t="n">
        <x:f>V10+U11</x:f>
        <x:v>-2656216.379271875</x:v>
      </x:c>
      <x:c r="W11" s="1" t="n">
        <x:f>IF(AND(A11&lt;='入力'!$B$38,S11&gt;=0,MIN(S11:$S$42)&gt;=0),A11,999)</x:f>
        <x:v>999</x:v>
      </x:c>
      <x:c r="X11" s="1"/>
      <x:c r="Y11" s="1"/>
      <x:c r="Z11" s="1"/>
      <x:c r="AA11" s="1"/>
      <x:c r="AB11" s="1"/>
      <x:c r="AC11" s="1"/>
      <x:c r="AD11" s="1"/>
    </x:row>
    <x:row r="12" ht="24" customHeight="1">
      <x:c r="A12" s="1" t="n">
        <x:f>5</x:f>
        <x:v>5</x:v>
      </x:c>
      <x:c r="B12" s="13" t="n">
        <x:f>IF(A12&lt;='入力'!$B$38,IF('入力'!$B$3=4,0,'入力'!$B$7*'入力'!$B$8*(1-'入力'!$B$18)^(A12-1)),0)</x:f>
        <x:v>5390.8222534375</x:v>
      </x:c>
      <x:c r="C12" s="13" t="n">
        <x:f>MIN(B12*'入力'!$B$15,'入力'!$B$14)</x:f>
        <x:v>1886.7877887031248</x:v>
      </x:c>
      <x:c r="D12" s="13" t="n">
        <x:f>MAX(0,B12-C12)</x:f>
        <x:v>3504.0344647343754</x:v>
      </x:c>
      <x:c r="E12" s="13" t="n">
        <x:f>IF(A12&lt;='入力'!$B$38,'入力'!$B$16*(1+'入力'!$B$17)^(A12-1),0)</x:f>
        <x:v>35</x:v>
      </x:c>
      <x:c r="F12" s="13" t="n">
        <x:f>IF(OR('入力'!$B$3=1,'入力'!$B$3=2),IF(A12&lt;=4,'入力'!$B$25,IF(A12&lt;=10,'入力'!$B$26,'入力'!$B$27)),IF(A12&lt;='入力'!$B$29,'入力'!$B$28,'入力'!$B$27))</x:f>
        <x:v>8.3</x:v>
      </x:c>
      <x:c r="G12" s="13" t="n">
        <x:f>MOD(A12-1,'入力'!$B$34)</x:f>
        <x:v>4</x:v>
      </x:c>
      <x:c r="H12" s="13" t="n">
        <x:f>IF(AND(A12&lt;='入力'!$B$38,AND('入力'!$B$3&gt;1,OR(A12&lt;='入力'!$B$34,'入力'!$B$35&gt;0))),'入力'!$B$10*'入力'!$B$21*(1-'入力'!$B$19)^G12,0)</x:f>
        <x:v>8.30131344</x:v>
      </x:c>
      <x:c r="I12" s="13" t="n">
        <x:f>IF(AND(A12&lt;='入力'!$B$38,E12*'入力'!$B$20&gt;IF('入力'!$B$3=4,'入力'!$B$43*(1+'入力'!$B$17)^(A12-1),F12)),MIN(IF('入力'!$B$3=4,1E20,D12),H12*'入力'!$B$22*'入力'!$B$23,IF('入力'!$B$3=4,'入力'!$B$14,MIN(MAX(0,'入力'!$B$14-C12),'入力'!$B$14*'入力'!$B$24))/'入力'!$B$20),0)</x:f>
        <x:v>1556.49627</x:v>
      </x:c>
      <x:c r="J12" s="13" t="n">
        <x:f>I12*'入力'!$B$20</x:f>
        <x:v>1323.0218295</x:v>
      </x:c>
      <x:c r="K12" s="13" t="n">
        <x:f>I12-J12</x:f>
        <x:v>233.47444050000013</x:v>
      </x:c>
      <x:c r="L12" s="13" t="n">
        <x:f>C12*E12+D12*F12</x:f>
        <x:v>95121.05866190468</x:v>
      </x:c>
      <x:c r="M12" s="13" t="n">
        <x:f>J12*E12-I12*IF('入力'!$B$3=4,'入力'!$B$43*(1+'入力'!$B$17)^(A12-1),F12)</x:f>
        <x:v>33386.844991499995</x:v>
      </x:c>
      <x:c r="N12" s="13" t="n">
        <x:f>IF(OR('入力'!$B$3=1,'入力'!$B$3=2),L12,0)+M12</x:f>
        <x:v>128507.90365340468</x:v>
      </x:c>
      <x:c r="O12" s="13" t="n">
        <x:f>IF(A12&lt;='入力'!$B$38,IF(OR('入力'!$B$3=1,'入力'!$B$3=2),'入力'!$B$30,0)+IF(AND('入力'!$B$3&gt;1,OR(A12&lt;='入力'!$B$34,'入力'!$B$35&gt;0)),'入力'!$B$31,0),0)</x:f>
        <x:v>13000</x:v>
      </x:c>
      <x:c r="P12" s="13" t="n">
        <x:f>IF(A12&lt;='入力'!$B$38,IF(AND(OR('入力'!$B$3=1,'入力'!$B$3=2),A12='入力'!$B$32),'入力'!$B$33,0)+IF(AND('入力'!$B$3&gt;1,'入力'!$B$35&gt;0,A12&gt;'入力'!$B$34,MOD(A12-1,'入力'!$B$34)=0),'入力'!$B$35,0),0)</x:f>
        <x:v>0</x:v>
      </x:c>
      <x:c r="Q12" s="13" t="n">
        <x:f>IF(A12='入力'!$B$38,IF(OR('入力'!$B$3=1,'入力'!$B$3=2),'入力'!$B$36,0)+IF('入力'!$B$3&gt;1,'入力'!$B$37,0),0)</x:f>
        <x:v>0</x:v>
      </x:c>
      <x:c r="R12" s="13" t="n">
        <x:f>N12-SUM(O12:Q12)</x:f>
        <x:v>115507.90365340468</x:v>
      </x:c>
      <x:c r="S12" s="13" t="n">
        <x:f>S11+R12</x:f>
        <x:v>-2540708.4756184705</x:v>
      </x:c>
      <x:c r="T12" s="13" t="n">
        <x:f>R12/(1+'入力'!$B$39)^A12</x:f>
        <x:v>104619.06711775412</x:v>
      </x:c>
      <x:c r="U12" s="13" t="n">
        <x:f>R12-IF(AND(A12&lt;='入力'!$B$38,A12&lt;='入力'!$B$42),$H$3*12,0)</x:f>
        <x:v>115507.90365340468</x:v>
      </x:c>
      <x:c r="V12" s="13" t="n">
        <x:f>V11+U12</x:f>
        <x:v>-2540708.4756184705</x:v>
      </x:c>
      <x:c r="W12" s="1" t="n">
        <x:f>IF(AND(A12&lt;='入力'!$B$38,S12&gt;=0,MIN(S12:$S$42)&gt;=0),A12,999)</x:f>
        <x:v>999</x:v>
      </x:c>
      <x:c r="X12" s="1"/>
      <x:c r="Y12" s="1"/>
      <x:c r="Z12" s="1"/>
      <x:c r="AA12" s="1"/>
      <x:c r="AB12" s="1"/>
      <x:c r="AC12" s="1"/>
      <x:c r="AD12" s="1"/>
    </x:row>
    <x:row r="13" ht="24" customHeight="1">
      <x:c r="A13" s="1" t="n">
        <x:f>6</x:f>
        <x:v>6</x:v>
      </x:c>
      <x:c r="B13" s="13" t="n">
        <x:f>IF(A13&lt;='入力'!$B$38,IF('入力'!$B$3=4,0,'入力'!$B$7*'入力'!$B$8*(1-'入力'!$B$18)^(A13-1)),0)</x:f>
        <x:v>5363.868142170312</x:v>
      </x:c>
      <x:c r="C13" s="13" t="n">
        <x:f>MIN(B13*'入力'!$B$15,'入力'!$B$14)</x:f>
        <x:v>1877.3538497596091</x:v>
      </x:c>
      <x:c r="D13" s="13" t="n">
        <x:f>MAX(0,B13-C13)</x:f>
        <x:v>3486.514292410703</x:v>
      </x:c>
      <x:c r="E13" s="13" t="n">
        <x:f>IF(A13&lt;='入力'!$B$38,'入力'!$B$16*(1+'入力'!$B$17)^(A13-1),0)</x:f>
        <x:v>35</x:v>
      </x:c>
      <x:c r="F13" s="13" t="n">
        <x:f>IF(OR('入力'!$B$3=1,'入力'!$B$3=2),IF(A13&lt;=4,'入力'!$B$25,IF(A13&lt;=10,'入力'!$B$26,'入力'!$B$27)),IF(A13&lt;='入力'!$B$29,'入力'!$B$28,'入力'!$B$27))</x:f>
        <x:v>8.3</x:v>
      </x:c>
      <x:c r="G13" s="13" t="n">
        <x:f>MOD(A13-1,'入力'!$B$34)</x:f>
        <x:v>5</x:v>
      </x:c>
      <x:c r="H13" s="13" t="n">
        <x:f>IF(AND(A13&lt;='入力'!$B$38,AND('入力'!$B$3&gt;1,OR(A13&lt;='入力'!$B$34,'入力'!$B$35&gt;0))),'入力'!$B$10*'入力'!$B$21*(1-'入力'!$B$19)^G13,0)</x:f>
        <x:v>8.1352871712</x:v>
      </x:c>
      <x:c r="I13" s="13" t="n">
        <x:f>IF(AND(A13&lt;='入力'!$B$38,E13*'入力'!$B$20&gt;IF('入力'!$B$3=4,'入力'!$B$43*(1+'入力'!$B$17)^(A13-1),F13)),MIN(IF('入力'!$B$3=4,1E20,D13),H13*'入力'!$B$22*'入力'!$B$23,IF('入力'!$B$3=4,'入力'!$B$14,MIN(MAX(0,'入力'!$B$14-C13),'入力'!$B$14*'入力'!$B$24))/'入力'!$B$20),0)</x:f>
        <x:v>1525.3663446</x:v>
      </x:c>
      <x:c r="J13" s="13" t="n">
        <x:f>I13*'入力'!$B$20</x:f>
        <x:v>1296.56139291</x:v>
      </x:c>
      <x:c r="K13" s="13" t="n">
        <x:f>I13-J13</x:f>
        <x:v>228.80495169000005</x:v>
      </x:c>
      <x:c r="L13" s="13" t="n">
        <x:f>C13*E13+D13*F13</x:f>
        <x:v>94645.45336859515</x:v>
      </x:c>
      <x:c r="M13" s="13" t="n">
        <x:f>J13*E13-I13*IF('入力'!$B$3=4,'入力'!$B$43*(1+'入力'!$B$17)^(A13-1),F13)</x:f>
        <x:v>32719.108091669998</x:v>
      </x:c>
      <x:c r="N13" s="13" t="n">
        <x:f>IF(OR('入力'!$B$3=1,'入力'!$B$3=2),L13,0)+M13</x:f>
        <x:v>127364.56146026515</x:v>
      </x:c>
      <x:c r="O13" s="13" t="n">
        <x:f>IF(A13&lt;='入力'!$B$38,IF(OR('入力'!$B$3=1,'入力'!$B$3=2),'入力'!$B$30,0)+IF(AND('入力'!$B$3&gt;1,OR(A13&lt;='入力'!$B$34,'入力'!$B$35&gt;0)),'入力'!$B$31,0),0)</x:f>
        <x:v>13000</x:v>
      </x:c>
      <x:c r="P13" s="13" t="n">
        <x:f>IF(A13&lt;='入力'!$B$38,IF(AND(OR('入力'!$B$3=1,'入力'!$B$3=2),A13='入力'!$B$32),'入力'!$B$33,0)+IF(AND('入力'!$B$3&gt;1,'入力'!$B$35&gt;0,A13&gt;'入力'!$B$34,MOD(A13-1,'入力'!$B$34)=0),'入力'!$B$35,0),0)</x:f>
        <x:v>0</x:v>
      </x:c>
      <x:c r="Q13" s="13" t="n">
        <x:f>IF(A13='入力'!$B$38,IF(OR('入力'!$B$3=1,'入力'!$B$3=2),'入力'!$B$36,0)+IF('入力'!$B$3&gt;1,'入力'!$B$37,0),0)</x:f>
        <x:v>0</x:v>
      </x:c>
      <x:c r="R13" s="13" t="n">
        <x:f>N13-SUM(O13:Q13)</x:f>
        <x:v>114364.56146026515</x:v>
      </x:c>
      <x:c r="S13" s="13" t="n">
        <x:f>S12+R13</x:f>
        <x:v>-2426343.9141582055</x:v>
      </x:c>
      <x:c r="T13" s="13" t="n">
        <x:f>R13/(1+'入力'!$B$39)^A13</x:f>
        <x:v>101552.45771298934</x:v>
      </x:c>
      <x:c r="U13" s="13" t="n">
        <x:f>R13-IF(AND(A13&lt;='入力'!$B$38,A13&lt;='入力'!$B$42),$H$3*12,0)</x:f>
        <x:v>114364.56146026515</x:v>
      </x:c>
      <x:c r="V13" s="13" t="n">
        <x:f>V12+U13</x:f>
        <x:v>-2426343.9141582055</x:v>
      </x:c>
      <x:c r="W13" s="1" t="n">
        <x:f>IF(AND(A13&lt;='入力'!$B$38,S13&gt;=0,MIN(S13:$S$42)&gt;=0),A13,999)</x:f>
        <x:v>999</x:v>
      </x:c>
      <x:c r="X13" s="1"/>
      <x:c r="Y13" s="1"/>
      <x:c r="Z13" s="1"/>
      <x:c r="AA13" s="1"/>
      <x:c r="AB13" s="1"/>
      <x:c r="AC13" s="1"/>
      <x:c r="AD13" s="1"/>
    </x:row>
    <x:row r="14" ht="24" customHeight="1">
      <x:c r="A14" s="1" t="n">
        <x:f>7</x:f>
        <x:v>7</x:v>
      </x:c>
      <x:c r="B14" s="13" t="n">
        <x:f>IF(A14&lt;='入力'!$B$38,IF('入力'!$B$3=4,0,'入力'!$B$7*'入力'!$B$8*(1-'入力'!$B$18)^(A14-1)),0)</x:f>
        <x:v>5337.048801459461</x:v>
      </x:c>
      <x:c r="C14" s="13" t="n">
        <x:f>MIN(B14*'入力'!$B$15,'入力'!$B$14)</x:f>
        <x:v>1867.9670805108112</x:v>
      </x:c>
      <x:c r="D14" s="13" t="n">
        <x:f>MAX(0,B14-C14)</x:f>
        <x:v>3469.08172094865</x:v>
      </x:c>
      <x:c r="E14" s="13" t="n">
        <x:f>IF(A14&lt;='入力'!$B$38,'入力'!$B$16*(1+'入力'!$B$17)^(A14-1),0)</x:f>
        <x:v>35</x:v>
      </x:c>
      <x:c r="F14" s="13" t="n">
        <x:f>IF(OR('入力'!$B$3=1,'入力'!$B$3=2),IF(A14&lt;=4,'入力'!$B$25,IF(A14&lt;=10,'入力'!$B$26,'入力'!$B$27)),IF(A14&lt;='入力'!$B$29,'入力'!$B$28,'入力'!$B$27))</x:f>
        <x:v>8.3</x:v>
      </x:c>
      <x:c r="G14" s="13" t="n">
        <x:f>MOD(A14-1,'入力'!$B$34)</x:f>
        <x:v>6</x:v>
      </x:c>
      <x:c r="H14" s="13" t="n">
        <x:f>IF(AND(A14&lt;='入力'!$B$38,AND('入力'!$B$3&gt;1,OR(A14&lt;='入力'!$B$34,'入力'!$B$35&gt;0))),'入力'!$B$10*'入力'!$B$21*(1-'入力'!$B$19)^G14,0)</x:f>
        <x:v>7.972581427775999</x:v>
      </x:c>
      <x:c r="I14" s="13" t="n">
        <x:f>IF(AND(A14&lt;='入力'!$B$38,E14*'入力'!$B$20&gt;IF('入力'!$B$3=4,'入力'!$B$43*(1+'入力'!$B$17)^(A14-1),F14)),MIN(IF('入力'!$B$3=4,1E20,D14),H14*'入力'!$B$22*'入力'!$B$23,IF('入力'!$B$3=4,'入力'!$B$14,MIN(MAX(0,'入力'!$B$14-C14),'入力'!$B$14*'入力'!$B$24))/'入力'!$B$20),0)</x:f>
        <x:v>1494.8590177079998</x:v>
      </x:c>
      <x:c r="J14" s="13" t="n">
        <x:f>I14*'入力'!$B$20</x:f>
        <x:v>1270.6301650517998</x:v>
      </x:c>
      <x:c r="K14" s="13" t="n">
        <x:f>I14-J14</x:f>
        <x:v>224.22885265619993</x:v>
      </x:c>
      <x:c r="L14" s="13" t="n">
        <x:f>C14*E14+D14*F14</x:f>
        <x:v>94172.2261017522</x:v>
      </x:c>
      <x:c r="M14" s="13" t="n">
        <x:f>J14*E14-I14*IF('入力'!$B$3=4,'入力'!$B$43*(1+'入力'!$B$17)^(A14-1),F14)</x:f>
        <x:v>32064.725929836597</x:v>
      </x:c>
      <x:c r="N14" s="13" t="n">
        <x:f>IF(OR('入力'!$B$3=1,'入力'!$B$3=2),L14,0)+M14</x:f>
        <x:v>126236.9520315888</x:v>
      </x:c>
      <x:c r="O14" s="13" t="n">
        <x:f>IF(A14&lt;='入力'!$B$38,IF(OR('入力'!$B$3=1,'入力'!$B$3=2),'入力'!$B$30,0)+IF(AND('入力'!$B$3&gt;1,OR(A14&lt;='入力'!$B$34,'入力'!$B$35&gt;0)),'入力'!$B$31,0),0)</x:f>
        <x:v>13000</x:v>
      </x:c>
      <x:c r="P14" s="13" t="n">
        <x:f>IF(A14&lt;='入力'!$B$38,IF(AND(OR('入力'!$B$3=1,'入力'!$B$3=2),A14='入力'!$B$32),'入力'!$B$33,0)+IF(AND('入力'!$B$3&gt;1,'入力'!$B$35&gt;0,A14&gt;'入力'!$B$34,MOD(A14-1,'入力'!$B$34)=0),'入力'!$B$35,0),0)</x:f>
        <x:v>0</x:v>
      </x:c>
      <x:c r="Q14" s="13" t="n">
        <x:f>IF(A14='入力'!$B$38,IF(OR('入力'!$B$3=1,'入力'!$B$3=2),'入力'!$B$36,0)+IF('入力'!$B$3&gt;1,'入力'!$B$37,0),0)</x:f>
        <x:v>0</x:v>
      </x:c>
      <x:c r="R14" s="13" t="n">
        <x:f>N14-SUM(O14:Q14)</x:f>
        <x:v>113236.9520315888</x:v>
      </x:c>
      <x:c r="S14" s="13" t="n">
        <x:f>S13+R14</x:f>
        <x:v>-2313106.962126617</x:v>
      </x:c>
      <x:c r="T14" s="13" t="n">
        <x:f>R14/(1+'入力'!$B$39)^A14</x:f>
        <x:v>98579.58118631512</x:v>
      </x:c>
      <x:c r="U14" s="13" t="n">
        <x:f>R14-IF(AND(A14&lt;='入力'!$B$38,A14&lt;='入力'!$B$42),$H$3*12,0)</x:f>
        <x:v>113236.9520315888</x:v>
      </x:c>
      <x:c r="V14" s="13" t="n">
        <x:f>V13+U14</x:f>
        <x:v>-2313106.962126617</x:v>
      </x:c>
      <x:c r="W14" s="1" t="n">
        <x:f>IF(AND(A14&lt;='入力'!$B$38,S14&gt;=0,MIN(S14:$S$42)&gt;=0),A14,999)</x:f>
        <x:v>999</x:v>
      </x:c>
      <x:c r="X14" s="1"/>
      <x:c r="Y14" s="1"/>
      <x:c r="Z14" s="1"/>
      <x:c r="AA14" s="1"/>
      <x:c r="AB14" s="1"/>
      <x:c r="AC14" s="1"/>
      <x:c r="AD14" s="1"/>
    </x:row>
    <x:row r="15" ht="24" customHeight="1">
      <x:c r="A15" s="1" t="n">
        <x:f>8</x:f>
        <x:v>8</x:v>
      </x:c>
      <x:c r="B15" s="13" t="n">
        <x:f>IF(A15&lt;='入力'!$B$38,IF('入力'!$B$3=4,0,'入力'!$B$7*'入力'!$B$8*(1-'入力'!$B$18)^(A15-1)),0)</x:f>
        <x:v>5310.363557452163</x:v>
      </x:c>
      <x:c r="C15" s="13" t="n">
        <x:f>MIN(B15*'入力'!$B$15,'入力'!$B$14)</x:f>
        <x:v>1858.627245108257</x:v>
      </x:c>
      <x:c r="D15" s="13" t="n">
        <x:f>MAX(0,B15-C15)</x:f>
        <x:v>3451.7363123439063</x:v>
      </x:c>
      <x:c r="E15" s="13" t="n">
        <x:f>IF(A15&lt;='入力'!$B$38,'入力'!$B$16*(1+'入力'!$B$17)^(A15-1),0)</x:f>
        <x:v>35</x:v>
      </x:c>
      <x:c r="F15" s="13" t="n">
        <x:f>IF(OR('入力'!$B$3=1,'入力'!$B$3=2),IF(A15&lt;=4,'入力'!$B$25,IF(A15&lt;=10,'入力'!$B$26,'入力'!$B$27)),IF(A15&lt;='入力'!$B$29,'入力'!$B$28,'入力'!$B$27))</x:f>
        <x:v>8.3</x:v>
      </x:c>
      <x:c r="G15" s="13" t="n">
        <x:f>MOD(A15-1,'入力'!$B$34)</x:f>
        <x:v>7</x:v>
      </x:c>
      <x:c r="H15" s="13" t="n">
        <x:f>IF(AND(A15&lt;='入力'!$B$38,AND('入力'!$B$3&gt;1,OR(A15&lt;='入力'!$B$34,'入力'!$B$35&gt;0))),'入力'!$B$10*'入力'!$B$21*(1-'入力'!$B$19)^G15,0)</x:f>
        <x:v>7.813129799220479</x:v>
      </x:c>
      <x:c r="I15" s="13" t="n">
        <x:f>IF(AND(A15&lt;='入力'!$B$38,E15*'入力'!$B$20&gt;IF('入力'!$B$3=4,'入力'!$B$43*(1+'入力'!$B$17)^(A15-1),F15)),MIN(IF('入力'!$B$3=4,1E20,D15),H15*'入力'!$B$22*'入力'!$B$23,IF('入力'!$B$3=4,'入力'!$B$14,MIN(MAX(0,'入力'!$B$14-C15),'入力'!$B$14*'入力'!$B$24))/'入力'!$B$20),0)</x:f>
        <x:v>1464.9618373538399</x:v>
      </x:c>
      <x:c r="J15" s="13" t="n">
        <x:f>I15*'入力'!$B$20</x:f>
        <x:v>1245.217561750764</x:v>
      </x:c>
      <x:c r="K15" s="13" t="n">
        <x:f>I15-J15</x:f>
        <x:v>219.74427560307595</x:v>
      </x:c>
      <x:c r="L15" s="13" t="n">
        <x:f>C15*E15+D15*F15</x:f>
        <x:v>93701.36497124343</x:v>
      </x:c>
      <x:c r="M15" s="13" t="n">
        <x:f>J15*E15-I15*IF('入力'!$B$3=4,'入力'!$B$43*(1+'入力'!$B$17)^(A15-1),F15)</x:f>
        <x:v>31423.431411239868</x:v>
      </x:c>
      <x:c r="N15" s="13" t="n">
        <x:f>IF(OR('入力'!$B$3=1,'入力'!$B$3=2),L15,0)+M15</x:f>
        <x:v>125124.7963824833</x:v>
      </x:c>
      <x:c r="O15" s="13" t="n">
        <x:f>IF(A15&lt;='入力'!$B$38,IF(OR('入力'!$B$3=1,'入力'!$B$3=2),'入力'!$B$30,0)+IF(AND('入力'!$B$3&gt;1,OR(A15&lt;='入力'!$B$34,'入力'!$B$35&gt;0)),'入力'!$B$31,0),0)</x:f>
        <x:v>13000</x:v>
      </x:c>
      <x:c r="P15" s="13" t="n">
        <x:f>IF(A15&lt;='入力'!$B$38,IF(AND(OR('入力'!$B$3=1,'入力'!$B$3=2),A15='入力'!$B$32),'入力'!$B$33,0)+IF(AND('入力'!$B$3&gt;1,'入力'!$B$35&gt;0,A15&gt;'入力'!$B$34,MOD(A15-1,'入力'!$B$34)=0),'入力'!$B$35,0),0)</x:f>
        <x:v>0</x:v>
      </x:c>
      <x:c r="Q15" s="13" t="n">
        <x:f>IF(A15='入力'!$B$38,IF(OR('入力'!$B$3=1,'入力'!$B$3=2),'入力'!$B$36,0)+IF('入力'!$B$3&gt;1,'入力'!$B$37,0),0)</x:f>
        <x:v>0</x:v>
      </x:c>
      <x:c r="R15" s="13" t="n">
        <x:f>N15-SUM(O15:Q15)</x:f>
        <x:v>112124.7963824833</x:v>
      </x:c>
      <x:c r="S15" s="13" t="n">
        <x:f>S14+R15</x:f>
        <x:v>-2200982.1657441338</x:v>
      </x:c>
      <x:c r="T15" s="13" t="n">
        <x:f>R15/(1+'入力'!$B$39)^A15</x:f>
        <x:v>95697.43408410133</x:v>
      </x:c>
      <x:c r="U15" s="13" t="n">
        <x:f>R15-IF(AND(A15&lt;='入力'!$B$38,A15&lt;='入力'!$B$42),$H$3*12,0)</x:f>
        <x:v>112124.7963824833</x:v>
      </x:c>
      <x:c r="V15" s="13" t="n">
        <x:f>V14+U15</x:f>
        <x:v>-2200982.1657441338</x:v>
      </x:c>
      <x:c r="W15" s="1" t="n">
        <x:f>IF(AND(A15&lt;='入力'!$B$38,S15&gt;=0,MIN(S15:$S$42)&gt;=0),A15,999)</x:f>
        <x:v>999</x:v>
      </x:c>
      <x:c r="X15" s="1"/>
      <x:c r="Y15" s="1"/>
      <x:c r="Z15" s="1"/>
      <x:c r="AA15" s="1"/>
      <x:c r="AB15" s="1"/>
      <x:c r="AC15" s="1"/>
      <x:c r="AD15" s="1"/>
    </x:row>
    <x:row r="16" ht="24" customHeight="1">
      <x:c r="A16" s="1" t="n">
        <x:f>9</x:f>
        <x:v>9</x:v>
      </x:c>
      <x:c r="B16" s="13" t="n">
        <x:f>IF(A16&lt;='入力'!$B$38,IF('入力'!$B$3=4,0,'入力'!$B$7*'入力'!$B$8*(1-'入力'!$B$18)^(A16-1)),0)</x:f>
        <x:v>5283.811739664902</x:v>
      </x:c>
      <x:c r="C16" s="13" t="n">
        <x:f>MIN(B16*'入力'!$B$15,'入力'!$B$14)</x:f>
        <x:v>1849.3341088827156</x:v>
      </x:c>
      <x:c r="D16" s="13" t="n">
        <x:f>MAX(0,B16-C16)</x:f>
        <x:v>3434.4776307821867</x:v>
      </x:c>
      <x:c r="E16" s="13" t="n">
        <x:f>IF(A16&lt;='入力'!$B$38,'入力'!$B$16*(1+'入力'!$B$17)^(A16-1),0)</x:f>
        <x:v>35</x:v>
      </x:c>
      <x:c r="F16" s="13" t="n">
        <x:f>IF(OR('入力'!$B$3=1,'入力'!$B$3=2),IF(A16&lt;=4,'入力'!$B$25,IF(A16&lt;=10,'入力'!$B$26,'入力'!$B$27)),IF(A16&lt;='入力'!$B$29,'入力'!$B$28,'入力'!$B$27))</x:f>
        <x:v>8.3</x:v>
      </x:c>
      <x:c r="G16" s="13" t="n">
        <x:f>MOD(A16-1,'入力'!$B$34)</x:f>
        <x:v>8</x:v>
      </x:c>
      <x:c r="H16" s="13" t="n">
        <x:f>IF(AND(A16&lt;='入力'!$B$38,AND('入力'!$B$3&gt;1,OR(A16&lt;='入力'!$B$34,'入力'!$B$35&gt;0))),'入力'!$B$10*'入力'!$B$21*(1-'入力'!$B$19)^G16,0)</x:f>
        <x:v>7.65686720323607</x:v>
      </x:c>
      <x:c r="I16" s="13" t="n">
        <x:f>IF(AND(A16&lt;='入力'!$B$38,E16*'入力'!$B$20&gt;IF('入力'!$B$3=4,'入力'!$B$43*(1+'入力'!$B$17)^(A16-1),F16)),MIN(IF('入力'!$B$3=4,1E20,D16),H16*'入力'!$B$22*'入力'!$B$23,IF('入力'!$B$3=4,'入力'!$B$14,MIN(MAX(0,'入力'!$B$14-C16),'入力'!$B$14*'入力'!$B$24))/'入力'!$B$20),0)</x:f>
        <x:v>1435.6626006067631</x:v>
      </x:c>
      <x:c r="J16" s="13" t="n">
        <x:f>I16*'入力'!$B$20</x:f>
        <x:v>1220.3132105157486</x:v>
      </x:c>
      <x:c r="K16" s="13" t="n">
        <x:f>I16-J16</x:f>
        <x:v>215.34939009101458</x:v>
      </x:c>
      <x:c r="L16" s="13" t="n">
        <x:f>C16*E16+D16*F16</x:f>
        <x:v>93232.8581463872</x:v>
      </x:c>
      <x:c r="M16" s="13" t="n">
        <x:f>J16*E16-I16*IF('入力'!$B$3=4,'入力'!$B$43*(1+'入力'!$B$17)^(A16-1),F16)</x:f>
        <x:v>30794.962783015064</x:v>
      </x:c>
      <x:c r="N16" s="13" t="n">
        <x:f>IF(OR('入力'!$B$3=1,'入力'!$B$3=2),L16,0)+M16</x:f>
        <x:v>124027.82092940225</x:v>
      </x:c>
      <x:c r="O16" s="13" t="n">
        <x:f>IF(A16&lt;='入力'!$B$38,IF(OR('入力'!$B$3=1,'入力'!$B$3=2),'入力'!$B$30,0)+IF(AND('入力'!$B$3&gt;1,OR(A16&lt;='入力'!$B$34,'入力'!$B$35&gt;0)),'入力'!$B$31,0),0)</x:f>
        <x:v>13000</x:v>
      </x:c>
      <x:c r="P16" s="13" t="n">
        <x:f>IF(A16&lt;='入力'!$B$38,IF(AND(OR('入力'!$B$3=1,'入力'!$B$3=2),A16='入力'!$B$32),'入力'!$B$33,0)+IF(AND('入力'!$B$3&gt;1,'入力'!$B$35&gt;0,A16&gt;'入力'!$B$34,MOD(A16-1,'入力'!$B$34)=0),'入力'!$B$35,0),0)</x:f>
        <x:v>0</x:v>
      </x:c>
      <x:c r="Q16" s="13" t="n">
        <x:f>IF(A16='入力'!$B$38,IF(OR('入力'!$B$3=1,'入力'!$B$3=2),'入力'!$B$36,0)+IF('入力'!$B$3&gt;1,'入力'!$B$37,0),0)</x:f>
        <x:v>0</x:v>
      </x:c>
      <x:c r="R16" s="13" t="n">
        <x:f>N16-SUM(O16:Q16)</x:f>
        <x:v>111027.82092940225</x:v>
      </x:c>
      <x:c r="S16" s="13" t="n">
        <x:f>S15+R16</x:f>
        <x:v>-2089954.3448147315</x:v>
      </x:c>
      <x:c r="T16" s="13" t="n">
        <x:f>R16/(1+'入力'!$B$39)^A16</x:f>
        <x:v>92903.11382104388</x:v>
      </x:c>
      <x:c r="U16" s="13" t="n">
        <x:f>R16-IF(AND(A16&lt;='入力'!$B$38,A16&lt;='入力'!$B$42),$H$3*12,0)</x:f>
        <x:v>111027.82092940225</x:v>
      </x:c>
      <x:c r="V16" s="13" t="n">
        <x:f>V15+U16</x:f>
        <x:v>-2089954.3448147315</x:v>
      </x:c>
      <x:c r="W16" s="1" t="n">
        <x:f>IF(AND(A16&lt;='入力'!$B$38,S16&gt;=0,MIN(S16:$S$42)&gt;=0),A16,999)</x:f>
        <x:v>999</x:v>
      </x:c>
      <x:c r="X16" s="1"/>
      <x:c r="Y16" s="1"/>
      <x:c r="Z16" s="1"/>
      <x:c r="AA16" s="1"/>
      <x:c r="AB16" s="1"/>
      <x:c r="AC16" s="1"/>
      <x:c r="AD16" s="1"/>
    </x:row>
    <x:row r="17" ht="24" customHeight="1">
      <x:c r="A17" s="1" t="n">
        <x:f>10</x:f>
        <x:v>10</x:v>
      </x:c>
      <x:c r="B17" s="13" t="n">
        <x:f>IF(A17&lt;='入力'!$B$38,IF('入力'!$B$3=4,0,'入力'!$B$7*'入力'!$B$8*(1-'入力'!$B$18)^(A17-1)),0)</x:f>
        <x:v>5257.392680966578</x:v>
      </x:c>
      <x:c r="C17" s="13" t="n">
        <x:f>MIN(B17*'入力'!$B$15,'入力'!$B$14)</x:f>
        <x:v>1840.0874383383023</x:v>
      </x:c>
      <x:c r="D17" s="13" t="n">
        <x:f>MAX(0,B17-C17)</x:f>
        <x:v>3417.3052426282757</x:v>
      </x:c>
      <x:c r="E17" s="13" t="n">
        <x:f>IF(A17&lt;='入力'!$B$38,'入力'!$B$16*(1+'入力'!$B$17)^(A17-1),0)</x:f>
        <x:v>35</x:v>
      </x:c>
      <x:c r="F17" s="13" t="n">
        <x:f>IF(OR('入力'!$B$3=1,'入力'!$B$3=2),IF(A17&lt;=4,'入力'!$B$25,IF(A17&lt;=10,'入力'!$B$26,'入力'!$B$27)),IF(A17&lt;='入力'!$B$29,'入力'!$B$28,'入力'!$B$27))</x:f>
        <x:v>8.3</x:v>
      </x:c>
      <x:c r="G17" s="13" t="n">
        <x:f>MOD(A17-1,'入力'!$B$34)</x:f>
        <x:v>9</x:v>
      </x:c>
      <x:c r="H17" s="13" t="n">
        <x:f>IF(AND(A17&lt;='入力'!$B$38,AND('入力'!$B$3&gt;1,OR(A17&lt;='入力'!$B$34,'入力'!$B$35&gt;0))),'入力'!$B$10*'入力'!$B$21*(1-'入力'!$B$19)^G17,0)</x:f>
        <x:v>7.503729859171348</x:v>
      </x:c>
      <x:c r="I17" s="13" t="n">
        <x:f>IF(AND(A17&lt;='入力'!$B$38,E17*'入力'!$B$20&gt;IF('入力'!$B$3=4,'入力'!$B$43*(1+'入力'!$B$17)^(A17-1),F17)),MIN(IF('入力'!$B$3=4,1E20,D17),H17*'入力'!$B$22*'入力'!$B$23,IF('入力'!$B$3=4,'入力'!$B$14,MIN(MAX(0,'入力'!$B$14-C17),'入力'!$B$14*'入力'!$B$24))/'入力'!$B$20),0)</x:f>
        <x:v>1406.9493485946277</x:v>
      </x:c>
      <x:c r="J17" s="13" t="n">
        <x:f>I17*'入力'!$B$20</x:f>
        <x:v>1195.9069463054336</x:v>
      </x:c>
      <x:c r="K17" s="13" t="n">
        <x:f>I17-J17</x:f>
        <x:v>211.04240228919411</x:v>
      </x:c>
      <x:c r="L17" s="13" t="n">
        <x:f>C17*E17+D17*F17</x:f>
        <x:v>92766.69385565526</x:v>
      </x:c>
      <x:c r="M17" s="13" t="n">
        <x:f>J17*E17-I17*IF('入力'!$B$3=4,'入力'!$B$43*(1+'入力'!$B$17)^(A17-1),F17)</x:f>
        <x:v>30179.063527354763</x:v>
      </x:c>
      <x:c r="N17" s="13" t="n">
        <x:f>IF(OR('入力'!$B$3=1,'入力'!$B$3=2),L17,0)+M17</x:f>
        <x:v>122945.75738301003</x:v>
      </x:c>
      <x:c r="O17" s="13" t="n">
        <x:f>IF(A17&lt;='入力'!$B$38,IF(OR('入力'!$B$3=1,'入力'!$B$3=2),'入力'!$B$30,0)+IF(AND('入力'!$B$3&gt;1,OR(A17&lt;='入力'!$B$34,'入力'!$B$35&gt;0)),'入力'!$B$31,0),0)</x:f>
        <x:v>13000</x:v>
      </x:c>
      <x:c r="P17" s="13" t="n">
        <x:f>IF(A17&lt;='入力'!$B$38,IF(AND(OR('入力'!$B$3=1,'入力'!$B$3=2),A17='入力'!$B$32),'入力'!$B$33,0)+IF(AND('入力'!$B$3&gt;1,'入力'!$B$35&gt;0,A17&gt;'入力'!$B$34,MOD(A17-1,'入力'!$B$34)=0),'入力'!$B$35,0),0)</x:f>
        <x:v>0</x:v>
      </x:c>
      <x:c r="Q17" s="13" t="n">
        <x:f>IF(A17='入力'!$B$38,IF(OR('入力'!$B$3=1,'入力'!$B$3=2),'入力'!$B$36,0)+IF('入力'!$B$3&gt;1,'入力'!$B$37,0),0)</x:f>
        <x:v>0</x:v>
      </x:c>
      <x:c r="R17" s="13" t="n">
        <x:f>N17-SUM(O17:Q17)</x:f>
        <x:v>109945.75738301003</x:v>
      </x:c>
      <x:c r="S17" s="13" t="n">
        <x:f>S16+R17</x:f>
        <x:v>-1980008.5874317214</x:v>
      </x:c>
      <x:c r="T17" s="13" t="n">
        <x:f>R17/(1+'入力'!$B$39)^A17</x:f>
        <x:v>90193.81514763857</x:v>
      </x:c>
      <x:c r="U17" s="13" t="n">
        <x:f>R17-IF(AND(A17&lt;='入力'!$B$38,A17&lt;='入力'!$B$42),$H$3*12,0)</x:f>
        <x:v>109945.75738301003</x:v>
      </x:c>
      <x:c r="V17" s="13" t="n">
        <x:f>V16+U17</x:f>
        <x:v>-1980008.5874317214</x:v>
      </x:c>
      <x:c r="W17" s="1" t="n">
        <x:f>IF(AND(A17&lt;='入力'!$B$38,S17&gt;=0,MIN(S17:$S$42)&gt;=0),A17,999)</x:f>
        <x:v>999</x:v>
      </x:c>
      <x:c r="X17" s="1"/>
      <x:c r="Y17" s="1"/>
      <x:c r="Z17" s="1"/>
      <x:c r="AA17" s="1"/>
      <x:c r="AB17" s="1"/>
      <x:c r="AC17" s="1"/>
      <x:c r="AD17" s="1"/>
    </x:row>
    <x:row r="18" ht="24" customHeight="1">
      <x:c r="A18" s="1" t="n">
        <x:f>11</x:f>
        <x:v>11</x:v>
      </x:c>
      <x:c r="B18" s="13" t="n">
        <x:f>IF(A18&lt;='入力'!$B$38,IF('入力'!$B$3=4,0,'入力'!$B$7*'入力'!$B$8*(1-'入力'!$B$18)^(A18-1)),0)</x:f>
        <x:v>5231.105717561745</x:v>
      </x:c>
      <x:c r="C18" s="13" t="n">
        <x:f>MIN(B18*'入力'!$B$15,'入力'!$B$14)</x:f>
        <x:v>1830.8870011466106</x:v>
      </x:c>
      <x:c r="D18" s="13" t="n">
        <x:f>MAX(0,B18-C18)</x:f>
        <x:v>3400.2187164151346</x:v>
      </x:c>
      <x:c r="E18" s="13" t="n">
        <x:f>IF(A18&lt;='入力'!$B$38,'入力'!$B$16*(1+'入力'!$B$17)^(A18-1),0)</x:f>
        <x:v>35</x:v>
      </x:c>
      <x:c r="F18" s="13" t="n">
        <x:f>IF(OR('入力'!$B$3=1,'入力'!$B$3=2),IF(A18&lt;=4,'入力'!$B$25,IF(A18&lt;=10,'入力'!$B$26,'入力'!$B$27)),IF(A18&lt;='入力'!$B$29,'入力'!$B$28,'入力'!$B$27))</x:f>
        <x:v>8.5</x:v>
      </x:c>
      <x:c r="G18" s="13" t="n">
        <x:f>MOD(A18-1,'入力'!$B$34)</x:f>
        <x:v>10</x:v>
      </x:c>
      <x:c r="H18" s="13" t="n">
        <x:f>IF(AND(A18&lt;='入力'!$B$38,AND('入力'!$B$3&gt;1,OR(A18&lt;='入力'!$B$34,'入力'!$B$35&gt;0))),'入力'!$B$10*'入力'!$B$21*(1-'入力'!$B$19)^G18,0)</x:f>
        <x:v>7.35365526198792</x:v>
      </x:c>
      <x:c r="I18" s="13" t="n">
        <x:f>IF(AND(A18&lt;='入力'!$B$38,E18*'入力'!$B$20&gt;IF('入力'!$B$3=4,'入力'!$B$43*(1+'入力'!$B$17)^(A18-1),F18)),MIN(IF('入力'!$B$3=4,1E20,D18),H18*'入力'!$B$22*'入力'!$B$23,IF('入力'!$B$3=4,'入力'!$B$14,MIN(MAX(0,'入力'!$B$14-C18),'入力'!$B$14*'入力'!$B$24))/'入力'!$B$20),0)</x:f>
        <x:v>1378.810361622735</x:v>
      </x:c>
      <x:c r="J18" s="13" t="n">
        <x:f>I18*'入力'!$B$20</x:f>
        <x:v>1171.9888073793247</x:v>
      </x:c>
      <x:c r="K18" s="13" t="n">
        <x:f>I18-J18</x:f>
        <x:v>206.82155424341022</x:v>
      </x:c>
      <x:c r="L18" s="13" t="n">
        <x:f>C18*E18+D18*F18</x:f>
        <x:v>92982.90412966002</x:v>
      </x:c>
      <x:c r="M18" s="13" t="n">
        <x:f>J18*E18-I18*IF('入力'!$B$3=4,'入力'!$B$43*(1+'入力'!$B$17)^(A18-1),F18)</x:f>
        <x:v>29299.720184483114</x:v>
      </x:c>
      <x:c r="N18" s="13" t="n">
        <x:f>IF(OR('入力'!$B$3=1,'入力'!$B$3=2),L18,0)+M18</x:f>
        <x:v>122282.62431414313</x:v>
      </x:c>
      <x:c r="O18" s="13" t="n">
        <x:f>IF(A18&lt;='入力'!$B$38,IF(OR('入力'!$B$3=1,'入力'!$B$3=2),'入力'!$B$30,0)+IF(AND('入力'!$B$3&gt;1,OR(A18&lt;='入力'!$B$34,'入力'!$B$35&gt;0)),'入力'!$B$31,0),0)</x:f>
        <x:v>13000</x:v>
      </x:c>
      <x:c r="P18" s="13" t="n">
        <x:f>IF(A18&lt;='入力'!$B$38,IF(AND(OR('入力'!$B$3=1,'入力'!$B$3=2),A18='入力'!$B$32),'入力'!$B$33,0)+IF(AND('入力'!$B$3&gt;1,'入力'!$B$35&gt;0,A18&gt;'入力'!$B$34,MOD(A18-1,'入力'!$B$34)=0),'入力'!$B$35,0),0)</x:f>
        <x:v>0</x:v>
      </x:c>
      <x:c r="Q18" s="13" t="n">
        <x:f>IF(A18='入力'!$B$38,IF(OR('入力'!$B$3=1,'入力'!$B$3=2),'入力'!$B$36,0)+IF('入力'!$B$3&gt;1,'入力'!$B$37,0),0)</x:f>
        <x:v>0</x:v>
      </x:c>
      <x:c r="R18" s="13" t="n">
        <x:f>N18-SUM(O18:Q18)</x:f>
        <x:v>109282.62431414313</x:v>
      </x:c>
      <x:c r="S18" s="13" t="n">
        <x:f>S17+R18</x:f>
        <x:v>-1870725.9631175783</x:v>
      </x:c>
      <x:c r="T18" s="13" t="n">
        <x:f>R18/(1+'入力'!$B$39)^A18</x:f>
        <x:v>87891.97555098296</x:v>
      </x:c>
      <x:c r="U18" s="13" t="n">
        <x:f>R18-IF(AND(A18&lt;='入力'!$B$38,A18&lt;='入力'!$B$42),$H$3*12,0)</x:f>
        <x:v>109282.62431414313</x:v>
      </x:c>
      <x:c r="V18" s="13" t="n">
        <x:f>V17+U18</x:f>
        <x:v>-1870725.9631175783</x:v>
      </x:c>
      <x:c r="W18" s="1" t="n">
        <x:f>IF(AND(A18&lt;='入力'!$B$38,S18&gt;=0,MIN(S18:$S$42)&gt;=0),A18,999)</x:f>
        <x:v>999</x:v>
      </x:c>
      <x:c r="X18" s="1"/>
      <x:c r="Y18" s="1"/>
      <x:c r="Z18" s="1"/>
      <x:c r="AA18" s="1"/>
      <x:c r="AB18" s="1"/>
      <x:c r="AC18" s="1"/>
      <x:c r="AD18" s="1"/>
    </x:row>
    <x:row r="19" ht="24" customHeight="1">
      <x:c r="A19" s="1" t="n">
        <x:f>12</x:f>
        <x:v>12</x:v>
      </x:c>
      <x:c r="B19" s="13" t="n">
        <x:f>IF(A19&lt;='入力'!$B$38,IF('入力'!$B$3=4,0,'入力'!$B$7*'入力'!$B$8*(1-'入力'!$B$18)^(A19-1)),0)</x:f>
        <x:v>5204.950188973936</x:v>
      </x:c>
      <x:c r="C19" s="13" t="n">
        <x:f>MIN(B19*'入力'!$B$15,'入力'!$B$14)</x:f>
        <x:v>1821.7325661408775</x:v>
      </x:c>
      <x:c r="D19" s="13" t="n">
        <x:f>MAX(0,B19-C19)</x:f>
        <x:v>3383.217622833058</x:v>
      </x:c>
      <x:c r="E19" s="13" t="n">
        <x:f>IF(A19&lt;='入力'!$B$38,'入力'!$B$16*(1+'入力'!$B$17)^(A19-1),0)</x:f>
        <x:v>35</x:v>
      </x:c>
      <x:c r="F19" s="13" t="n">
        <x:f>IF(OR('入力'!$B$3=1,'入力'!$B$3=2),IF(A19&lt;=4,'入力'!$B$25,IF(A19&lt;=10,'入力'!$B$26,'入力'!$B$27)),IF(A19&lt;='入力'!$B$29,'入力'!$B$28,'入力'!$B$27))</x:f>
        <x:v>8.5</x:v>
      </x:c>
      <x:c r="G19" s="13" t="n">
        <x:f>MOD(A19-1,'入力'!$B$34)</x:f>
        <x:v>11</x:v>
      </x:c>
      <x:c r="H19" s="13" t="n">
        <x:f>IF(AND(A19&lt;='入力'!$B$38,AND('入力'!$B$3&gt;1,OR(A19&lt;='入力'!$B$34,'入力'!$B$35&gt;0))),'入力'!$B$10*'入力'!$B$21*(1-'入力'!$B$19)^G19,0)</x:f>
        <x:v>7.206582156748163</x:v>
      </x:c>
      <x:c r="I19" s="13" t="n">
        <x:f>IF(AND(A19&lt;='入力'!$B$38,E19*'入力'!$B$20&gt;IF('入力'!$B$3=4,'入力'!$B$43*(1+'入力'!$B$17)^(A19-1),F19)),MIN(IF('入力'!$B$3=4,1E20,D19),H19*'入力'!$B$22*'入力'!$B$23,IF('入力'!$B$3=4,'入力'!$B$14,MIN(MAX(0,'入力'!$B$14-C19),'入力'!$B$14*'入力'!$B$24))/'入力'!$B$20),0)</x:f>
        <x:v>1351.2341543902805</x:v>
      </x:c>
      <x:c r="J19" s="13" t="n">
        <x:f>I19*'入力'!$B$20</x:f>
        <x:v>1148.5490312317384</x:v>
      </x:c>
      <x:c r="K19" s="13" t="n">
        <x:f>I19-J19</x:f>
        <x:v>202.68512315854218</x:v>
      </x:c>
      <x:c r="L19" s="13" t="n">
        <x:f>C19*E19+D19*F19</x:f>
        <x:v>92517.98960901171</x:v>
      </x:c>
      <x:c r="M19" s="13" t="n">
        <x:f>J19*E19-I19*IF('入力'!$B$3=4,'入力'!$B$43*(1+'入力'!$B$17)^(A19-1),F19)</x:f>
        <x:v>28713.72578079346</x:v>
      </x:c>
      <x:c r="N19" s="13" t="n">
        <x:f>IF(OR('入力'!$B$3=1,'入力'!$B$3=2),L19,0)+M19</x:f>
        <x:v>121231.71538980518</x:v>
      </x:c>
      <x:c r="O19" s="13" t="n">
        <x:f>IF(A19&lt;='入力'!$B$38,IF(OR('入力'!$B$3=1,'入力'!$B$3=2),'入力'!$B$30,0)+IF(AND('入力'!$B$3&gt;1,OR(A19&lt;='入力'!$B$34,'入力'!$B$35&gt;0)),'入力'!$B$31,0),0)</x:f>
        <x:v>13000</x:v>
      </x:c>
      <x:c r="P19" s="13" t="n">
        <x:f>IF(A19&lt;='入力'!$B$38,IF(AND(OR('入力'!$B$3=1,'入力'!$B$3=2),A19='入力'!$B$32),'入力'!$B$33,0)+IF(AND('入力'!$B$3&gt;1,'入力'!$B$35&gt;0,A19&gt;'入力'!$B$34,MOD(A19-1,'入力'!$B$34)=0),'入力'!$B$35,0),0)</x:f>
        <x:v>0</x:v>
      </x:c>
      <x:c r="Q19" s="13" t="n">
        <x:f>IF(A19='入力'!$B$38,IF(OR('入力'!$B$3=1,'入力'!$B$3=2),'入力'!$B$36,0)+IF('入力'!$B$3&gt;1,'入力'!$B$37,0),0)</x:f>
        <x:v>0</x:v>
      </x:c>
      <x:c r="R19" s="13" t="n">
        <x:f>N19-SUM(O19:Q19)</x:f>
        <x:v>108231.71538980518</x:v>
      </x:c>
      <x:c r="S19" s="13" t="n">
        <x:f>S18+R19</x:f>
        <x:v>-1762494.2477277732</x:v>
      </x:c>
      <x:c r="T19" s="13" t="n">
        <x:f>R19/(1+'入力'!$B$39)^A19</x:f>
        <x:v>85339.9689663575</x:v>
      </x:c>
      <x:c r="U19" s="13" t="n">
        <x:f>R19-IF(AND(A19&lt;='入力'!$B$38,A19&lt;='入力'!$B$42),$H$3*12,0)</x:f>
        <x:v>108231.71538980518</x:v>
      </x:c>
      <x:c r="V19" s="13" t="n">
        <x:f>V18+U19</x:f>
        <x:v>-1762494.2477277732</x:v>
      </x:c>
      <x:c r="W19" s="1" t="n">
        <x:f>IF(AND(A19&lt;='入力'!$B$38,S19&gt;=0,MIN(S19:$S$42)&gt;=0),A19,999)</x:f>
        <x:v>999</x:v>
      </x:c>
      <x:c r="X19" s="1"/>
      <x:c r="Y19" s="1"/>
      <x:c r="Z19" s="1"/>
      <x:c r="AA19" s="1"/>
      <x:c r="AB19" s="1"/>
      <x:c r="AC19" s="1"/>
      <x:c r="AD19" s="1"/>
    </x:row>
    <x:row r="20" ht="24" customHeight="1">
      <x:c r="A20" s="1" t="n">
        <x:f>13</x:f>
        <x:v>13</x:v>
      </x:c>
      <x:c r="B20" s="13" t="n">
        <x:f>IF(A20&lt;='入力'!$B$38,IF('入力'!$B$3=4,0,'入力'!$B$7*'入力'!$B$8*(1-'入力'!$B$18)^(A20-1)),0)</x:f>
        <x:v>5178.925438029067</x:v>
      </x:c>
      <x:c r="C20" s="13" t="n">
        <x:f>MIN(B20*'入力'!$B$15,'入力'!$B$14)</x:f>
        <x:v>1812.6239033101733</x:v>
      </x:c>
      <x:c r="D20" s="13" t="n">
        <x:f>MAX(0,B20-C20)</x:f>
        <x:v>3366.3015347188934</x:v>
      </x:c>
      <x:c r="E20" s="13" t="n">
        <x:f>IF(A20&lt;='入力'!$B$38,'入力'!$B$16*(1+'入力'!$B$17)^(A20-1),0)</x:f>
        <x:v>35</x:v>
      </x:c>
      <x:c r="F20" s="13" t="n">
        <x:f>IF(OR('入力'!$B$3=1,'入力'!$B$3=2),IF(A20&lt;=4,'入力'!$B$25,IF(A20&lt;=10,'入力'!$B$26,'入力'!$B$27)),IF(A20&lt;='入力'!$B$29,'入力'!$B$28,'入力'!$B$27))</x:f>
        <x:v>8.5</x:v>
      </x:c>
      <x:c r="G20" s="13" t="n">
        <x:f>MOD(A20-1,'入力'!$B$34)</x:f>
        <x:v>12</x:v>
      </x:c>
      <x:c r="H20" s="13" t="n">
        <x:f>IF(AND(A20&lt;='入力'!$B$38,AND('入力'!$B$3&gt;1,OR(A20&lt;='入力'!$B$34,'入力'!$B$35&gt;0))),'入力'!$B$10*'入力'!$B$21*(1-'入力'!$B$19)^G20,0)</x:f>
        <x:v>7.062450513613198</x:v>
      </x:c>
      <x:c r="I20" s="13" t="n">
        <x:f>IF(AND(A20&lt;='入力'!$B$38,E20*'入力'!$B$20&gt;IF('入力'!$B$3=4,'入力'!$B$43*(1+'入力'!$B$17)^(A20-1),F20)),MIN(IF('入力'!$B$3=4,1E20,D20),H20*'入力'!$B$22*'入力'!$B$23,IF('入力'!$B$3=4,'入力'!$B$14,MIN(MAX(0,'入力'!$B$14-C20),'入力'!$B$14*'入力'!$B$24))/'入力'!$B$20),0)</x:f>
        <x:v>1324.2094713024746</x:v>
      </x:c>
      <x:c r="J20" s="13" t="n">
        <x:f>I20*'入力'!$B$20</x:f>
        <x:v>1125.5780506071035</x:v>
      </x:c>
      <x:c r="K20" s="13" t="n">
        <x:f>I20-J20</x:f>
        <x:v>198.63142069537116</x:v>
      </x:c>
      <x:c r="L20" s="13" t="n">
        <x:f>C20*E20+D20*F20</x:f>
        <x:v>92055.39966096666</x:v>
      </x:c>
      <x:c r="M20" s="13" t="n">
        <x:f>J20*E20-I20*IF('入力'!$B$3=4,'入力'!$B$43*(1+'入力'!$B$17)^(A20-1),F20)</x:f>
        <x:v>28139.451265177584</x:v>
      </x:c>
      <x:c r="N20" s="13" t="n">
        <x:f>IF(OR('入力'!$B$3=1,'入力'!$B$3=2),L20,0)+M20</x:f>
        <x:v>120194.85092614425</x:v>
      </x:c>
      <x:c r="O20" s="13" t="n">
        <x:f>IF(A20&lt;='入力'!$B$38,IF(OR('入力'!$B$3=1,'入力'!$B$3=2),'入力'!$B$30,0)+IF(AND('入力'!$B$3&gt;1,OR(A20&lt;='入力'!$B$34,'入力'!$B$35&gt;0)),'入力'!$B$31,0),0)</x:f>
        <x:v>13000</x:v>
      </x:c>
      <x:c r="P20" s="13" t="n">
        <x:f>IF(A20&lt;='入力'!$B$38,IF(AND(OR('入力'!$B$3=1,'入力'!$B$3=2),A20='入力'!$B$32),'入力'!$B$33,0)+IF(AND('入力'!$B$3&gt;1,'入力'!$B$35&gt;0,A20&gt;'入力'!$B$34,MOD(A20-1,'入力'!$B$34)=0),'入力'!$B$35,0),0)</x:f>
        <x:v>0</x:v>
      </x:c>
      <x:c r="Q20" s="13" t="n">
        <x:f>IF(A20='入力'!$B$38,IF(OR('入力'!$B$3=1,'入力'!$B$3=2),'入力'!$B$36,0)+IF('入力'!$B$3&gt;1,'入力'!$B$37,0),0)</x:f>
        <x:v>0</x:v>
      </x:c>
      <x:c r="R20" s="13" t="n">
        <x:f>N20-SUM(O20:Q20)</x:f>
        <x:v>107194.85092614425</x:v>
      </x:c>
      <x:c r="S20" s="13" t="n">
        <x:f>S19+R20</x:f>
        <x:v>-1655299.3968016289</x:v>
      </x:c>
      <x:c r="T20" s="13" t="n">
        <x:f>R20/(1+'入力'!$B$39)^A20</x:f>
        <x:v>82865.10628701738</x:v>
      </x:c>
      <x:c r="U20" s="13" t="n">
        <x:f>R20-IF(AND(A20&lt;='入力'!$B$38,A20&lt;='入力'!$B$42),$H$3*12,0)</x:f>
        <x:v>107194.85092614425</x:v>
      </x:c>
      <x:c r="V20" s="13" t="n">
        <x:f>V19+U20</x:f>
        <x:v>-1655299.3968016289</x:v>
      </x:c>
      <x:c r="W20" s="1" t="n">
        <x:f>IF(AND(A20&lt;='入力'!$B$38,S20&gt;=0,MIN(S20:$S$42)&gt;=0),A20,999)</x:f>
        <x:v>999</x:v>
      </x:c>
      <x:c r="X20" s="1"/>
      <x:c r="Y20" s="1"/>
      <x:c r="Z20" s="1"/>
      <x:c r="AA20" s="1"/>
      <x:c r="AB20" s="1"/>
      <x:c r="AC20" s="1"/>
      <x:c r="AD20" s="1"/>
    </x:row>
    <x:row r="21" ht="24" customHeight="1">
      <x:c r="A21" s="1" t="n">
        <x:f>14</x:f>
        <x:v>14</x:v>
      </x:c>
      <x:c r="B21" s="13" t="n">
        <x:f>IF(A21&lt;='入力'!$B$38,IF('入力'!$B$3=4,0,'入力'!$B$7*'入力'!$B$8*(1-'入力'!$B$18)^(A21-1)),0)</x:f>
        <x:v>5153.030810838922</x:v>
      </x:c>
      <x:c r="C21" s="13" t="n">
        <x:f>MIN(B21*'入力'!$B$15,'入力'!$B$14)</x:f>
        <x:v>1803.5607837936225</x:v>
      </x:c>
      <x:c r="D21" s="13" t="n">
        <x:f>MAX(0,B21-C21)</x:f>
        <x:v>3349.4700270452995</x:v>
      </x:c>
      <x:c r="E21" s="13" t="n">
        <x:f>IF(A21&lt;='入力'!$B$38,'入力'!$B$16*(1+'入力'!$B$17)^(A21-1),0)</x:f>
        <x:v>35</x:v>
      </x:c>
      <x:c r="F21" s="13" t="n">
        <x:f>IF(OR('入力'!$B$3=1,'入力'!$B$3=2),IF(A21&lt;=4,'入力'!$B$25,IF(A21&lt;=10,'入力'!$B$26,'入力'!$B$27)),IF(A21&lt;='入力'!$B$29,'入力'!$B$28,'入力'!$B$27))</x:f>
        <x:v>8.5</x:v>
      </x:c>
      <x:c r="G21" s="13" t="n">
        <x:f>MOD(A21-1,'入力'!$B$34)</x:f>
        <x:v>13</x:v>
      </x:c>
      <x:c r="H21" s="13" t="n">
        <x:f>IF(AND(A21&lt;='入力'!$B$38,AND('入力'!$B$3&gt;1,OR(A21&lt;='入力'!$B$34,'入力'!$B$35&gt;0))),'入力'!$B$10*'入力'!$B$21*(1-'入力'!$B$19)^G21,0)</x:f>
        <x:v>6.921201503340934</x:v>
      </x:c>
      <x:c r="I21" s="13" t="n">
        <x:f>IF(AND(A21&lt;='入力'!$B$38,E21*'入力'!$B$20&gt;IF('入力'!$B$3=4,'入力'!$B$43*(1+'入力'!$B$17)^(A21-1),F21)),MIN(IF('入力'!$B$3=4,1E20,D21),H21*'入力'!$B$22*'入力'!$B$23,IF('入力'!$B$3=4,'入力'!$B$14,MIN(MAX(0,'入力'!$B$14-C21),'入力'!$B$14*'入力'!$B$24))/'入力'!$B$20),0)</x:f>
        <x:v>1297.7252818764252</x:v>
      </x:c>
      <x:c r="J21" s="13" t="n">
        <x:f>I21*'入力'!$B$20</x:f>
        <x:v>1103.0664895949615</x:v>
      </x:c>
      <x:c r="K21" s="13" t="n">
        <x:f>I21-J21</x:f>
        <x:v>194.65879228146377</x:v>
      </x:c>
      <x:c r="L21" s="13" t="n">
        <x:f>C21*E21+D21*F21</x:f>
        <x:v>91595.12266266183</x:v>
      </x:c>
      <x:c r="M21" s="13" t="n">
        <x:f>J21*E21-I21*IF('入力'!$B$3=4,'入力'!$B$43*(1+'入力'!$B$17)^(A21-1),F21)</x:f>
        <x:v>27576.662239874036</x:v>
      </x:c>
      <x:c r="N21" s="13" t="n">
        <x:f>IF(OR('入力'!$B$3=1,'入力'!$B$3=2),L21,0)+M21</x:f>
        <x:v>119171.78490253587</x:v>
      </x:c>
      <x:c r="O21" s="13" t="n">
        <x:f>IF(A21&lt;='入力'!$B$38,IF(OR('入力'!$B$3=1,'入力'!$B$3=2),'入力'!$B$30,0)+IF(AND('入力'!$B$3&gt;1,OR(A21&lt;='入力'!$B$34,'入力'!$B$35&gt;0)),'入力'!$B$31,0),0)</x:f>
        <x:v>13000</x:v>
      </x:c>
      <x:c r="P21" s="13" t="n">
        <x:f>IF(A21&lt;='入力'!$B$38,IF(AND(OR('入力'!$B$3=1,'入力'!$B$3=2),A21='入力'!$B$32),'入力'!$B$33,0)+IF(AND('入力'!$B$3&gt;1,'入力'!$B$35&gt;0,A21&gt;'入力'!$B$34,MOD(A21-1,'入力'!$B$34)=0),'入力'!$B$35,0),0)</x:f>
        <x:v>0</x:v>
      </x:c>
      <x:c r="Q21" s="13" t="n">
        <x:f>IF(A21='入力'!$B$38,IF(OR('入力'!$B$3=1,'入力'!$B$3=2),'入力'!$B$36,0)+IF('入力'!$B$3&gt;1,'入力'!$B$37,0),0)</x:f>
        <x:v>0</x:v>
      </x:c>
      <x:c r="R21" s="13" t="n">
        <x:f>N21-SUM(O21:Q21)</x:f>
        <x:v>106171.78490253587</x:v>
      </x:c>
      <x:c r="S21" s="13" t="n">
        <x:f>S20+R21</x:f>
        <x:v>-1549127.611899093</x:v>
      </x:c>
      <x:c r="T21" s="13" t="n">
        <x:f>R21/(1+'入力'!$B$39)^A21</x:f>
        <x:v>80464.94409359194</x:v>
      </x:c>
      <x:c r="U21" s="13" t="n">
        <x:f>R21-IF(AND(A21&lt;='入力'!$B$38,A21&lt;='入力'!$B$42),$H$3*12,0)</x:f>
        <x:v>106171.78490253587</x:v>
      </x:c>
      <x:c r="V21" s="13" t="n">
        <x:f>V20+U21</x:f>
        <x:v>-1549127.611899093</x:v>
      </x:c>
      <x:c r="W21" s="1" t="n">
        <x:f>IF(AND(A21&lt;='入力'!$B$38,S21&gt;=0,MIN(S21:$S$42)&gt;=0),A21,999)</x:f>
        <x:v>999</x:v>
      </x:c>
      <x:c r="X21" s="1"/>
      <x:c r="Y21" s="1"/>
      <x:c r="Z21" s="1"/>
      <x:c r="AA21" s="1"/>
      <x:c r="AB21" s="1"/>
      <x:c r="AC21" s="1"/>
      <x:c r="AD21" s="1"/>
    </x:row>
    <x:row r="22" ht="24" customHeight="1">
      <x:c r="A22" s="1" t="n">
        <x:f>15</x:f>
        <x:v>15</x:v>
      </x:c>
      <x:c r="B22" s="13" t="n">
        <x:f>IF(A22&lt;='入力'!$B$38,IF('入力'!$B$3=4,0,'入力'!$B$7*'入力'!$B$8*(1-'入力'!$B$18)^(A22-1)),0)</x:f>
        <x:v>5127.265656784727</x:v>
      </x:c>
      <x:c r="C22" s="13" t="n">
        <x:f>MIN(B22*'入力'!$B$15,'入力'!$B$14)</x:f>
        <x:v>1794.5429798746543</x:v>
      </x:c>
      <x:c r="D22" s="13" t="n">
        <x:f>MAX(0,B22-C22)</x:f>
        <x:v>3332.7226769100726</x:v>
      </x:c>
      <x:c r="E22" s="13" t="n">
        <x:f>IF(A22&lt;='入力'!$B$38,'入力'!$B$16*(1+'入力'!$B$17)^(A22-1),0)</x:f>
        <x:v>35</x:v>
      </x:c>
      <x:c r="F22" s="13" t="n">
        <x:f>IF(OR('入力'!$B$3=1,'入力'!$B$3=2),IF(A22&lt;=4,'入力'!$B$25,IF(A22&lt;=10,'入力'!$B$26,'入力'!$B$27)),IF(A22&lt;='入力'!$B$29,'入力'!$B$28,'入力'!$B$27))</x:f>
        <x:v>8.5</x:v>
      </x:c>
      <x:c r="G22" s="13" t="n">
        <x:f>MOD(A22-1,'入力'!$B$34)</x:f>
        <x:v>14</x:v>
      </x:c>
      <x:c r="H22" s="13" t="n">
        <x:f>IF(AND(A22&lt;='入力'!$B$38,AND('入力'!$B$3&gt;1,OR(A22&lt;='入力'!$B$34,'入力'!$B$35&gt;0))),'入力'!$B$10*'入力'!$B$21*(1-'入力'!$B$19)^G22,0)</x:f>
        <x:v>6.782777473274115</x:v>
      </x:c>
      <x:c r="I22" s="13" t="n">
        <x:f>IF(AND(A22&lt;='入力'!$B$38,E22*'入力'!$B$20&gt;IF('入力'!$B$3=4,'入力'!$B$43*(1+'入力'!$B$17)^(A22-1),F22)),MIN(IF('入力'!$B$3=4,1E20,D22),H22*'入力'!$B$22*'入力'!$B$23,IF('入力'!$B$3=4,'入力'!$B$14,MIN(MAX(0,'入力'!$B$14-C22),'入力'!$B$14*'入力'!$B$24))/'入力'!$B$20),0)</x:f>
        <x:v>1271.7707762388966</x:v>
      </x:c>
      <x:c r="J22" s="13" t="n">
        <x:f>I22*'入力'!$B$20</x:f>
        <x:v>1081.005159803062</x:v>
      </x:c>
      <x:c r="K22" s="13" t="n">
        <x:f>I22-J22</x:f>
        <x:v>190.76561643583454</x:v>
      </x:c>
      <x:c r="L22" s="13" t="n">
        <x:f>C22*E22+D22*F22</x:f>
        <x:v>91137.14704934852</x:v>
      </x:c>
      <x:c r="M22" s="13" t="n">
        <x:f>J22*E22-I22*IF('入力'!$B$3=4,'入力'!$B$43*(1+'入力'!$B$17)^(A22-1),F22)</x:f>
        <x:v>27025.12899507655</x:v>
      </x:c>
      <x:c r="N22" s="13" t="n">
        <x:f>IF(OR('入力'!$B$3=1,'入力'!$B$3=2),L22,0)+M22</x:f>
        <x:v>118162.27604442507</x:v>
      </x:c>
      <x:c r="O22" s="13" t="n">
        <x:f>IF(A22&lt;='入力'!$B$38,IF(OR('入力'!$B$3=1,'入力'!$B$3=2),'入力'!$B$30,0)+IF(AND('入力'!$B$3&gt;1,OR(A22&lt;='入力'!$B$34,'入力'!$B$35&gt;0)),'入力'!$B$31,0),0)</x:f>
        <x:v>13000</x:v>
      </x:c>
      <x:c r="P22" s="13" t="n">
        <x:f>IF(A22&lt;='入力'!$B$38,IF(AND(OR('入力'!$B$3=1,'入力'!$B$3=2),A22='入力'!$B$32),'入力'!$B$33,0)+IF(AND('入力'!$B$3&gt;1,'入力'!$B$35&gt;0,A22&gt;'入力'!$B$34,MOD(A22-1,'入力'!$B$34)=0),'入力'!$B$35,0),0)</x:f>
        <x:v>350000</x:v>
      </x:c>
      <x:c r="Q22" s="13" t="n">
        <x:f>IF(A22='入力'!$B$38,IF(OR('入力'!$B$3=1,'入力'!$B$3=2),'入力'!$B$36,0)+IF('入力'!$B$3&gt;1,'入力'!$B$37,0),0)</x:f>
        <x:v>0</x:v>
      </x:c>
      <x:c r="R22" s="13" t="n">
        <x:f>N22-SUM(O22:Q22)</x:f>
        <x:v>-244837.7239555749</x:v>
      </x:c>
      <x:c r="S22" s="13" t="n">
        <x:f>S21+R22</x:f>
        <x:v>-1793965.335854668</x:v>
      </x:c>
      <x:c r="T22" s="13" t="n">
        <x:f>R22/(1+'入力'!$B$39)^A22</x:f>
        <x:v>-181918.035355855</x:v>
      </x:c>
      <x:c r="U22" s="13" t="n">
        <x:f>R22-IF(AND(A22&lt;='入力'!$B$38,A22&lt;='入力'!$B$42),$H$3*12,0)</x:f>
        <x:v>-244837.7239555749</x:v>
      </x:c>
      <x:c r="V22" s="13" t="n">
        <x:f>V21+U22</x:f>
        <x:v>-1793965.335854668</x:v>
      </x:c>
      <x:c r="W22" s="1" t="n">
        <x:f>IF(AND(A22&lt;='入力'!$B$38,S22&gt;=0,MIN(S22:$S$42)&gt;=0),A22,999)</x:f>
        <x:v>999</x:v>
      </x:c>
      <x:c r="X22" s="1"/>
      <x:c r="Y22" s="1"/>
      <x:c r="Z22" s="1"/>
      <x:c r="AA22" s="1"/>
      <x:c r="AB22" s="1"/>
      <x:c r="AC22" s="1"/>
      <x:c r="AD22" s="1"/>
    </x:row>
    <x:row r="23" ht="24" customHeight="1">
      <x:c r="A23" s="1" t="n">
        <x:f>16</x:f>
        <x:v>16</x:v>
      </x:c>
      <x:c r="B23" s="13" t="n">
        <x:f>IF(A23&lt;='入力'!$B$38,IF('入力'!$B$3=4,0,'入力'!$B$7*'入力'!$B$8*(1-'入力'!$B$18)^(A23-1)),0)</x:f>
        <x:v>5101.629328500803</x:v>
      </x:c>
      <x:c r="C23" s="13" t="n">
        <x:f>MIN(B23*'入力'!$B$15,'入力'!$B$14)</x:f>
        <x:v>1785.5702649752811</x:v>
      </x:c>
      <x:c r="D23" s="13" t="n">
        <x:f>MAX(0,B23-C23)</x:f>
        <x:v>3316.059063525522</x:v>
      </x:c>
      <x:c r="E23" s="13" t="n">
        <x:f>IF(A23&lt;='入力'!$B$38,'入力'!$B$16*(1+'入力'!$B$17)^(A23-1),0)</x:f>
        <x:v>35</x:v>
      </x:c>
      <x:c r="F23" s="13" t="n">
        <x:f>IF(OR('入力'!$B$3=1,'入力'!$B$3=2),IF(A23&lt;=4,'入力'!$B$25,IF(A23&lt;=10,'入力'!$B$26,'入力'!$B$27)),IF(A23&lt;='入力'!$B$29,'入力'!$B$28,'入力'!$B$27))</x:f>
        <x:v>8.5</x:v>
      </x:c>
      <x:c r="G23" s="13" t="n">
        <x:f>MOD(A23-1,'入力'!$B$34)</x:f>
        <x:v>0</x:v>
      </x:c>
      <x:c r="H23" s="13" t="n">
        <x:f>IF(AND(A23&lt;='入力'!$B$38,AND('入力'!$B$3&gt;1,OR(A23&lt;='入力'!$B$34,'入力'!$B$35&gt;0))),'入力'!$B$10*'入力'!$B$21*(1-'入力'!$B$19)^G23,0)</x:f>
        <x:v>9</x:v>
      </x:c>
      <x:c r="I23" s="13" t="n">
        <x:f>IF(AND(A23&lt;='入力'!$B$38,E23*'入力'!$B$20&gt;IF('入力'!$B$3=4,'入力'!$B$43*(1+'入力'!$B$17)^(A23-1),F23)),MIN(IF('入力'!$B$3=4,1E20,D23),H23*'入力'!$B$22*'入力'!$B$23,IF('入力'!$B$3=4,'入力'!$B$14,MIN(MAX(0,'入力'!$B$14-C23),'入力'!$B$14*'入力'!$B$24))/'入力'!$B$20),0)</x:f>
        <x:v>1687.5</x:v>
      </x:c>
      <x:c r="J23" s="13" t="n">
        <x:f>I23*'入力'!$B$20</x:f>
        <x:v>1434.375</x:v>
      </x:c>
      <x:c r="K23" s="13" t="n">
        <x:f>I23-J23</x:f>
        <x:v>253.125</x:v>
      </x:c>
      <x:c r="L23" s="13" t="n">
        <x:f>C23*E23+D23*F23</x:f>
        <x:v>90681.46131410178</x:v>
      </x:c>
      <x:c r="M23" s="13" t="n">
        <x:f>J23*E23-I23*IF('入力'!$B$3=4,'入力'!$B$43*(1+'入力'!$B$17)^(A23-1),F23)</x:f>
        <x:v>35859.375</x:v>
      </x:c>
      <x:c r="N23" s="13" t="n">
        <x:f>IF(OR('入力'!$B$3=1,'入力'!$B$3=2),L23,0)+M23</x:f>
        <x:v>126540.83631410178</x:v>
      </x:c>
      <x:c r="O23" s="13" t="n">
        <x:f>IF(A23&lt;='入力'!$B$38,IF(OR('入力'!$B$3=1,'入力'!$B$3=2),'入力'!$B$30,0)+IF(AND('入力'!$B$3&gt;1,OR(A23&lt;='入力'!$B$34,'入力'!$B$35&gt;0)),'入力'!$B$31,0),0)</x:f>
        <x:v>13000</x:v>
      </x:c>
      <x:c r="P23" s="13" t="n">
        <x:f>IF(A23&lt;='入力'!$B$38,IF(AND(OR('入力'!$B$3=1,'入力'!$B$3=2),A23='入力'!$B$32),'入力'!$B$33,0)+IF(AND('入力'!$B$3&gt;1,'入力'!$B$35&gt;0,A23&gt;'入力'!$B$34,MOD(A23-1,'入力'!$B$34)=0),'入力'!$B$35,0),0)</x:f>
        <x:v>1000000</x:v>
      </x:c>
      <x:c r="Q23" s="13" t="n">
        <x:f>IF(A23='入力'!$B$38,IF(OR('入力'!$B$3=1,'入力'!$B$3=2),'入力'!$B$36,0)+IF('入力'!$B$3&gt;1,'入力'!$B$37,0),0)</x:f>
        <x:v>0</x:v>
      </x:c>
      <x:c r="R23" s="13" t="n">
        <x:f>N23-SUM(O23:Q23)</x:f>
        <x:v>-886459.1636858982</x:v>
      </x:c>
      <x:c r="S23" s="13" t="n">
        <x:f>S22+R23</x:f>
        <x:v>-2680424.499540566</x:v>
      </x:c>
      <x:c r="T23" s="13" t="n">
        <x:f>R23/(1+'入力'!$B$39)^A23</x:f>
        <x:v>-645737.4668156137</x:v>
      </x:c>
      <x:c r="U23" s="13" t="n">
        <x:f>R23-IF(AND(A23&lt;='入力'!$B$38,A23&lt;='入力'!$B$42),$H$3*12,0)</x:f>
        <x:v>-886459.1636858982</x:v>
      </x:c>
      <x:c r="V23" s="13" t="n">
        <x:f>V22+U23</x:f>
        <x:v>-2680424.499540566</x:v>
      </x:c>
      <x:c r="W23" s="1" t="n">
        <x:f>IF(AND(A23&lt;='入力'!$B$38,S23&gt;=0,MIN(S23:$S$42)&gt;=0),A23,999)</x:f>
        <x:v>999</x:v>
      </x:c>
      <x:c r="X23" s="1"/>
      <x:c r="Y23" s="1"/>
      <x:c r="Z23" s="1"/>
      <x:c r="AA23" s="1"/>
      <x:c r="AB23" s="1"/>
      <x:c r="AC23" s="1"/>
      <x:c r="AD23" s="1"/>
    </x:row>
    <x:row r="24" ht="24" customHeight="1">
      <x:c r="A24" s="1" t="n">
        <x:f>17</x:f>
        <x:v>17</x:v>
      </x:c>
      <x:c r="B24" s="13" t="n">
        <x:f>IF(A24&lt;='入力'!$B$38,IF('入力'!$B$3=4,0,'入力'!$B$7*'入力'!$B$8*(1-'入力'!$B$18)^(A24-1)),0)</x:f>
        <x:v>5076.121181858299</x:v>
      </x:c>
      <x:c r="C24" s="13" t="n">
        <x:f>MIN(B24*'入力'!$B$15,'入力'!$B$14)</x:f>
        <x:v>1776.6424136504045</x:v>
      </x:c>
      <x:c r="D24" s="13" t="n">
        <x:f>MAX(0,B24-C24)</x:f>
        <x:v>3299.478768207894</x:v>
      </x:c>
      <x:c r="E24" s="13" t="n">
        <x:f>IF(A24&lt;='入力'!$B$38,'入力'!$B$16*(1+'入力'!$B$17)^(A24-1),0)</x:f>
        <x:v>35</x:v>
      </x:c>
      <x:c r="F24" s="13" t="n">
        <x:f>IF(OR('入力'!$B$3=1,'入力'!$B$3=2),IF(A24&lt;=4,'入力'!$B$25,IF(A24&lt;=10,'入力'!$B$26,'入力'!$B$27)),IF(A24&lt;='入力'!$B$29,'入力'!$B$28,'入力'!$B$27))</x:f>
        <x:v>8.5</x:v>
      </x:c>
      <x:c r="G24" s="13" t="n">
        <x:f>MOD(A24-1,'入力'!$B$34)</x:f>
        <x:v>1</x:v>
      </x:c>
      <x:c r="H24" s="13" t="n">
        <x:f>IF(AND(A24&lt;='入力'!$B$38,AND('入力'!$B$3&gt;1,OR(A24&lt;='入力'!$B$34,'入力'!$B$35&gt;0))),'入力'!$B$10*'入力'!$B$21*(1-'入力'!$B$19)^G24,0)</x:f>
        <x:v>8.82</x:v>
      </x:c>
      <x:c r="I24" s="13" t="n">
        <x:f>IF(AND(A24&lt;='入力'!$B$38,E24*'入力'!$B$20&gt;IF('入力'!$B$3=4,'入力'!$B$43*(1+'入力'!$B$17)^(A24-1),F24)),MIN(IF('入力'!$B$3=4,1E20,D24),H24*'入力'!$B$22*'入力'!$B$23,IF('入力'!$B$3=4,'入力'!$B$14,MIN(MAX(0,'入力'!$B$14-C24),'入力'!$B$14*'入力'!$B$24))/'入力'!$B$20),0)</x:f>
        <x:v>1653.75</x:v>
      </x:c>
      <x:c r="J24" s="13" t="n">
        <x:f>I24*'入力'!$B$20</x:f>
        <x:v>1405.6875</x:v>
      </x:c>
      <x:c r="K24" s="13" t="n">
        <x:f>I24-J24</x:f>
        <x:v>248.0625</x:v>
      </x:c>
      <x:c r="L24" s="13" t="n">
        <x:f>C24*E24+D24*F24</x:f>
        <x:v>90228.05400753126</x:v>
      </x:c>
      <x:c r="M24" s="13" t="n">
        <x:f>J24*E24-I24*IF('入力'!$B$3=4,'入力'!$B$43*(1+'入力'!$B$17)^(A24-1),F24)</x:f>
        <x:v>35142.1875</x:v>
      </x:c>
      <x:c r="N24" s="13" t="n">
        <x:f>IF(OR('入力'!$B$3=1,'入力'!$B$3=2),L24,0)+M24</x:f>
        <x:v>125370.24150753126</x:v>
      </x:c>
      <x:c r="O24" s="13" t="n">
        <x:f>IF(A24&lt;='入力'!$B$38,IF(OR('入力'!$B$3=1,'入力'!$B$3=2),'入力'!$B$30,0)+IF(AND('入力'!$B$3&gt;1,OR(A24&lt;='入力'!$B$34,'入力'!$B$35&gt;0)),'入力'!$B$31,0),0)</x:f>
        <x:v>13000</x:v>
      </x:c>
      <x:c r="P24" s="13" t="n">
        <x:f>IF(A24&lt;='入力'!$B$38,IF(AND(OR('入力'!$B$3=1,'入力'!$B$3=2),A24='入力'!$B$32),'入力'!$B$33,0)+IF(AND('入力'!$B$3&gt;1,'入力'!$B$35&gt;0,A24&gt;'入力'!$B$34,MOD(A24-1,'入力'!$B$34)=0),'入力'!$B$35,0),0)</x:f>
        <x:v>0</x:v>
      </x:c>
      <x:c r="Q24" s="13" t="n">
        <x:f>IF(A24='入力'!$B$38,IF(OR('入力'!$B$3=1,'入力'!$B$3=2),'入力'!$B$36,0)+IF('入力'!$B$3&gt;1,'入力'!$B$37,0),0)</x:f>
        <x:v>0</x:v>
      </x:c>
      <x:c r="R24" s="13" t="n">
        <x:f>N24-SUM(O24:Q24)</x:f>
        <x:v>112370.24150753126</x:v>
      </x:c>
      <x:c r="S24" s="13" t="n">
        <x:f>S23+R24</x:f>
        <x:v>-2568054.258033035</x:v>
      </x:c>
      <x:c r="T24" s="13" t="n">
        <x:f>R24/(1+'入力'!$B$39)^A24</x:f>
        <x:v>80250.61961982217</x:v>
      </x:c>
      <x:c r="U24" s="13" t="n">
        <x:f>R24-IF(AND(A24&lt;='入力'!$B$38,A24&lt;='入力'!$B$42),$H$3*12,0)</x:f>
        <x:v>112370.24150753126</x:v>
      </x:c>
      <x:c r="V24" s="13" t="n">
        <x:f>V23+U24</x:f>
        <x:v>-2568054.258033035</x:v>
      </x:c>
      <x:c r="W24" s="1" t="n">
        <x:f>IF(AND(A24&lt;='入力'!$B$38,S24&gt;=0,MIN(S24:$S$42)&gt;=0),A24,999)</x:f>
        <x:v>999</x:v>
      </x:c>
      <x:c r="X24" s="1"/>
      <x:c r="Y24" s="1"/>
      <x:c r="Z24" s="1"/>
      <x:c r="AA24" s="1"/>
      <x:c r="AB24" s="1"/>
      <x:c r="AC24" s="1"/>
      <x:c r="AD24" s="1"/>
    </x:row>
    <x:row r="25" ht="24" customHeight="1">
      <x:c r="A25" s="1" t="n">
        <x:f>18</x:f>
        <x:v>18</x:v>
      </x:c>
      <x:c r="B25" s="13" t="n">
        <x:f>IF(A25&lt;='入力'!$B$38,IF('入力'!$B$3=4,0,'入力'!$B$7*'入力'!$B$8*(1-'入力'!$B$18)^(A25-1)),0)</x:f>
        <x:v>5050.7405759490075</x:v>
      </x:c>
      <x:c r="C25" s="13" t="n">
        <x:f>MIN(B25*'入力'!$B$15,'入力'!$B$14)</x:f>
        <x:v>1767.7592015821526</x:v>
      </x:c>
      <x:c r="D25" s="13" t="n">
        <x:f>MAX(0,B25-C25)</x:f>
        <x:v>3282.9813743668547</x:v>
      </x:c>
      <x:c r="E25" s="13" t="n">
        <x:f>IF(A25&lt;='入力'!$B$38,'入力'!$B$16*(1+'入力'!$B$17)^(A25-1),0)</x:f>
        <x:v>35</x:v>
      </x:c>
      <x:c r="F25" s="13" t="n">
        <x:f>IF(OR('入力'!$B$3=1,'入力'!$B$3=2),IF(A25&lt;=4,'入力'!$B$25,IF(A25&lt;=10,'入力'!$B$26,'入力'!$B$27)),IF(A25&lt;='入力'!$B$29,'入力'!$B$28,'入力'!$B$27))</x:f>
        <x:v>8.5</x:v>
      </x:c>
      <x:c r="G25" s="13" t="n">
        <x:f>MOD(A25-1,'入力'!$B$34)</x:f>
        <x:v>2</x:v>
      </x:c>
      <x:c r="H25" s="13" t="n">
        <x:f>IF(AND(A25&lt;='入力'!$B$38,AND('入力'!$B$3&gt;1,OR(A25&lt;='入力'!$B$34,'入力'!$B$35&gt;0))),'入力'!$B$10*'入力'!$B$21*(1-'入力'!$B$19)^G25,0)</x:f>
        <x:v>8.6436</x:v>
      </x:c>
      <x:c r="I25" s="13" t="n">
        <x:f>IF(AND(A25&lt;='入力'!$B$38,E25*'入力'!$B$20&gt;IF('入力'!$B$3=4,'入力'!$B$43*(1+'入力'!$B$17)^(A25-1),F25)),MIN(IF('入力'!$B$3=4,1E20,D25),H25*'入力'!$B$22*'入力'!$B$23,IF('入力'!$B$3=4,'入力'!$B$14,MIN(MAX(0,'入力'!$B$14-C25),'入力'!$B$14*'入力'!$B$24))/'入力'!$B$20),0)</x:f>
        <x:v>1620.6749999999997</x:v>
      </x:c>
      <x:c r="J25" s="13" t="n">
        <x:f>I25*'入力'!$B$20</x:f>
        <x:v>1377.5737499999998</x:v>
      </x:c>
      <x:c r="K25" s="13" t="n">
        <x:f>I25-J25</x:f>
        <x:v>243.10124999999994</x:v>
      </x:c>
      <x:c r="L25" s="13" t="n">
        <x:f>C25*E25+D25*F25</x:f>
        <x:v>89776.91373749361</x:v>
      </x:c>
      <x:c r="M25" s="13" t="n">
        <x:f>J25*E25-I25*IF('入力'!$B$3=4,'入力'!$B$43*(1+'入力'!$B$17)^(A25-1),F25)</x:f>
        <x:v>34439.34375</x:v>
      </x:c>
      <x:c r="N25" s="13" t="n">
        <x:f>IF(OR('入力'!$B$3=1,'入力'!$B$3=2),L25,0)+M25</x:f>
        <x:v>124216.25748749361</x:v>
      </x:c>
      <x:c r="O25" s="13" t="n">
        <x:f>IF(A25&lt;='入力'!$B$38,IF(OR('入力'!$B$3=1,'入力'!$B$3=2),'入力'!$B$30,0)+IF(AND('入力'!$B$3&gt;1,OR(A25&lt;='入力'!$B$34,'入力'!$B$35&gt;0)),'入力'!$B$31,0),0)</x:f>
        <x:v>13000</x:v>
      </x:c>
      <x:c r="P25" s="13" t="n">
        <x:f>IF(A25&lt;='入力'!$B$38,IF(AND(OR('入力'!$B$3=1,'入力'!$B$3=2),A25='入力'!$B$32),'入力'!$B$33,0)+IF(AND('入力'!$B$3&gt;1,'入力'!$B$35&gt;0,A25&gt;'入力'!$B$34,MOD(A25-1,'入力'!$B$34)=0),'入力'!$B$35,0),0)</x:f>
        <x:v>0</x:v>
      </x:c>
      <x:c r="Q25" s="13" t="n">
        <x:f>IF(A25='入力'!$B$38,IF(OR('入力'!$B$3=1,'入力'!$B$3=2),'入力'!$B$36,0)+IF('入力'!$B$3&gt;1,'入力'!$B$37,0),0)</x:f>
        <x:v>0</x:v>
      </x:c>
      <x:c r="R25" s="13" t="n">
        <x:f>N25-SUM(O25:Q25)</x:f>
        <x:v>111216.25748749361</x:v>
      </x:c>
      <x:c r="S25" s="13" t="n">
        <x:f>S24+R25</x:f>
        <x:v>-2456838.0005455413</x:v>
      </x:c>
      <x:c r="T25" s="13" t="n">
        <x:f>R25/(1+'入力'!$B$39)^A25</x:f>
        <x:v>77869.1053284593</x:v>
      </x:c>
      <x:c r="U25" s="13" t="n">
        <x:f>R25-IF(AND(A25&lt;='入力'!$B$38,A25&lt;='入力'!$B$42),$H$3*12,0)</x:f>
        <x:v>111216.25748749361</x:v>
      </x:c>
      <x:c r="V25" s="13" t="n">
        <x:f>V24+U25</x:f>
        <x:v>-2456838.0005455413</x:v>
      </x:c>
      <x:c r="W25" s="1" t="n">
        <x:f>IF(AND(A25&lt;='入力'!$B$38,S25&gt;=0,MIN(S25:$S$42)&gt;=0),A25,999)</x:f>
        <x:v>999</x:v>
      </x:c>
      <x:c r="X25" s="1"/>
      <x:c r="Y25" s="1"/>
      <x:c r="Z25" s="1"/>
      <x:c r="AA25" s="1"/>
      <x:c r="AB25" s="1"/>
      <x:c r="AC25" s="1"/>
      <x:c r="AD25" s="1"/>
    </x:row>
    <x:row r="26" ht="24" customHeight="1">
      <x:c r="A26" s="1" t="n">
        <x:f>19</x:f>
        <x:v>19</x:v>
      </x:c>
      <x:c r="B26" s="13" t="n">
        <x:f>IF(A26&lt;='入力'!$B$38,IF('入力'!$B$3=4,0,'入力'!$B$7*'入力'!$B$8*(1-'入力'!$B$18)^(A26-1)),0)</x:f>
        <x:v>5025.486873069262</x:v>
      </x:c>
      <x:c r="C26" s="13" t="n">
        <x:f>MIN(B26*'入力'!$B$15,'入力'!$B$14)</x:f>
        <x:v>1758.9204055742418</x:v>
      </x:c>
      <x:c r="D26" s="13" t="n">
        <x:f>MAX(0,B26-C26)</x:f>
        <x:v>3266.5664674950203</x:v>
      </x:c>
      <x:c r="E26" s="13" t="n">
        <x:f>IF(A26&lt;='入力'!$B$38,'入力'!$B$16*(1+'入力'!$B$17)^(A26-1),0)</x:f>
        <x:v>35</x:v>
      </x:c>
      <x:c r="F26" s="13" t="n">
        <x:f>IF(OR('入力'!$B$3=1,'入力'!$B$3=2),IF(A26&lt;=4,'入力'!$B$25,IF(A26&lt;=10,'入力'!$B$26,'入力'!$B$27)),IF(A26&lt;='入力'!$B$29,'入力'!$B$28,'入力'!$B$27))</x:f>
        <x:v>8.5</x:v>
      </x:c>
      <x:c r="G26" s="13" t="n">
        <x:f>MOD(A26-1,'入力'!$B$34)</x:f>
        <x:v>3</x:v>
      </x:c>
      <x:c r="H26" s="13" t="n">
        <x:f>IF(AND(A26&lt;='入力'!$B$38,AND('入力'!$B$3&gt;1,OR(A26&lt;='入力'!$B$34,'入力'!$B$35&gt;0))),'入力'!$B$10*'入力'!$B$21*(1-'入力'!$B$19)^G26,0)</x:f>
        <x:v>8.470728</x:v>
      </x:c>
      <x:c r="I26" s="13" t="n">
        <x:f>IF(AND(A26&lt;='入力'!$B$38,E26*'入力'!$B$20&gt;IF('入力'!$B$3=4,'入力'!$B$43*(1+'入力'!$B$17)^(A26-1),F26)),MIN(IF('入力'!$B$3=4,1E20,D26),H26*'入力'!$B$22*'入力'!$B$23,IF('入力'!$B$3=4,'入力'!$B$14,MIN(MAX(0,'入力'!$B$14-C26),'入力'!$B$14*'入力'!$B$24))/'入力'!$B$20),0)</x:f>
        <x:v>1588.2614999999998</x:v>
      </x:c>
      <x:c r="J26" s="13" t="n">
        <x:f>I26*'入力'!$B$20</x:f>
        <x:v>1350.0222749999998</x:v>
      </x:c>
      <x:c r="K26" s="13" t="n">
        <x:f>I26-J26</x:f>
        <x:v>238.23922500000003</x:v>
      </x:c>
      <x:c r="L26" s="13" t="n">
        <x:f>C26*E26+D26*F26</x:f>
        <x:v>89328.02916880614</x:v>
      </x:c>
      <x:c r="M26" s="13" t="n">
        <x:f>J26*E26-I26*IF('入力'!$B$3=4,'入力'!$B$43*(1+'入力'!$B$17)^(A26-1),F26)</x:f>
        <x:v>33750.556874999995</x:v>
      </x:c>
      <x:c r="N26" s="13" t="n">
        <x:f>IF(OR('入力'!$B$3=1,'入力'!$B$3=2),L26,0)+M26</x:f>
        <x:v>123078.58604380614</x:v>
      </x:c>
      <x:c r="O26" s="13" t="n">
        <x:f>IF(A26&lt;='入力'!$B$38,IF(OR('入力'!$B$3=1,'入力'!$B$3=2),'入力'!$B$30,0)+IF(AND('入力'!$B$3&gt;1,OR(A26&lt;='入力'!$B$34,'入力'!$B$35&gt;0)),'入力'!$B$31,0),0)</x:f>
        <x:v>13000</x:v>
      </x:c>
      <x:c r="P26" s="13" t="n">
        <x:f>IF(A26&lt;='入力'!$B$38,IF(AND(OR('入力'!$B$3=1,'入力'!$B$3=2),A26='入力'!$B$32),'入力'!$B$33,0)+IF(AND('入力'!$B$3&gt;1,'入力'!$B$35&gt;0,A26&gt;'入力'!$B$34,MOD(A26-1,'入力'!$B$34)=0),'入力'!$B$35,0),0)</x:f>
        <x:v>0</x:v>
      </x:c>
      <x:c r="Q26" s="13" t="n">
        <x:f>IF(A26='入力'!$B$38,IF(OR('入力'!$B$3=1,'入力'!$B$3=2),'入力'!$B$36,0)+IF('入力'!$B$3&gt;1,'入力'!$B$37,0),0)</x:f>
        <x:v>0</x:v>
      </x:c>
      <x:c r="R26" s="13" t="n">
        <x:f>N26-SUM(O26:Q26)</x:f>
        <x:v>110078.58604380614</x:v>
      </x:c>
      <x:c r="S26" s="13" t="n">
        <x:f>S25+R26</x:f>
        <x:v>-2346759.414501735</x:v>
      </x:c>
      <x:c r="T26" s="13" t="n">
        <x:f>R26/(1+'入力'!$B$39)^A26</x:f>
        <x:v>75561.32745248123</x:v>
      </x:c>
      <x:c r="U26" s="13" t="n">
        <x:f>R26-IF(AND(A26&lt;='入力'!$B$38,A26&lt;='入力'!$B$42),$H$3*12,0)</x:f>
        <x:v>110078.58604380614</x:v>
      </x:c>
      <x:c r="V26" s="13" t="n">
        <x:f>V25+U26</x:f>
        <x:v>-2346759.414501735</x:v>
      </x:c>
      <x:c r="W26" s="1" t="n">
        <x:f>IF(AND(A26&lt;='入力'!$B$38,S26&gt;=0,MIN(S26:$S$42)&gt;=0),A26,999)</x:f>
        <x:v>999</x:v>
      </x:c>
      <x:c r="X26" s="1"/>
      <x:c r="Y26" s="1"/>
      <x:c r="Z26" s="1"/>
      <x:c r="AA26" s="1"/>
      <x:c r="AB26" s="1"/>
      <x:c r="AC26" s="1"/>
      <x:c r="AD26" s="1"/>
    </x:row>
    <x:row r="27" ht="24" customHeight="1">
      <x:c r="A27" s="1" t="n">
        <x:f>20</x:f>
        <x:v>20</x:v>
      </x:c>
      <x:c r="B27" s="13" t="n">
        <x:f>IF(A27&lt;='入力'!$B$38,IF('入力'!$B$3=4,0,'入力'!$B$7*'入力'!$B$8*(1-'入力'!$B$18)^(A27-1)),0)</x:f>
        <x:v>5000.359438703916</x:v>
      </x:c>
      <x:c r="C27" s="13" t="n">
        <x:f>MIN(B27*'入力'!$B$15,'入力'!$B$14)</x:f>
        <x:v>1750.1258035463704</x:v>
      </x:c>
      <x:c r="D27" s="13" t="n">
        <x:f>MAX(0,B27-C27)</x:f>
        <x:v>3250.233635157545</x:v>
      </x:c>
      <x:c r="E27" s="13" t="n">
        <x:f>IF(A27&lt;='入力'!$B$38,'入力'!$B$16*(1+'入力'!$B$17)^(A27-1),0)</x:f>
        <x:v>35</x:v>
      </x:c>
      <x:c r="F27" s="13" t="n">
        <x:f>IF(OR('入力'!$B$3=1,'入力'!$B$3=2),IF(A27&lt;=4,'入力'!$B$25,IF(A27&lt;=10,'入力'!$B$26,'入力'!$B$27)),IF(A27&lt;='入力'!$B$29,'入力'!$B$28,'入力'!$B$27))</x:f>
        <x:v>8.5</x:v>
      </x:c>
      <x:c r="G27" s="13" t="n">
        <x:f>MOD(A27-1,'入力'!$B$34)</x:f>
        <x:v>4</x:v>
      </x:c>
      <x:c r="H27" s="13" t="n">
        <x:f>IF(AND(A27&lt;='入力'!$B$38,AND('入力'!$B$3&gt;1,OR(A27&lt;='入力'!$B$34,'入力'!$B$35&gt;0))),'入力'!$B$10*'入力'!$B$21*(1-'入力'!$B$19)^G27,0)</x:f>
        <x:v>8.30131344</x:v>
      </x:c>
      <x:c r="I27" s="13" t="n">
        <x:f>IF(AND(A27&lt;='入力'!$B$38,E27*'入力'!$B$20&gt;IF('入力'!$B$3=4,'入力'!$B$43*(1+'入力'!$B$17)^(A27-1),F27)),MIN(IF('入力'!$B$3=4,1E20,D27),H27*'入力'!$B$22*'入力'!$B$23,IF('入力'!$B$3=4,'入力'!$B$14,MIN(MAX(0,'入力'!$B$14-C27),'入力'!$B$14*'入力'!$B$24))/'入力'!$B$20),0)</x:f>
        <x:v>1556.49627</x:v>
      </x:c>
      <x:c r="J27" s="13" t="n">
        <x:f>I27*'入力'!$B$20</x:f>
        <x:v>1323.0218295</x:v>
      </x:c>
      <x:c r="K27" s="13" t="n">
        <x:f>I27-J27</x:f>
        <x:v>233.47444050000013</x:v>
      </x:c>
      <x:c r="L27" s="13" t="n">
        <x:f>C27*E27+D27*F27</x:f>
        <x:v>88881.3890229621</x:v>
      </x:c>
      <x:c r="M27" s="13" t="n">
        <x:f>J27*E27-I27*IF('入力'!$B$3=4,'入力'!$B$43*(1+'入力'!$B$17)^(A27-1),F27)</x:f>
        <x:v>33075.5457375</x:v>
      </x:c>
      <x:c r="N27" s="13" t="n">
        <x:f>IF(OR('入力'!$B$3=1,'入力'!$B$3=2),L27,0)+M27</x:f>
        <x:v>121956.9347604621</x:v>
      </x:c>
      <x:c r="O27" s="13" t="n">
        <x:f>IF(A27&lt;='入力'!$B$38,IF(OR('入力'!$B$3=1,'入力'!$B$3=2),'入力'!$B$30,0)+IF(AND('入力'!$B$3&gt;1,OR(A27&lt;='入力'!$B$34,'入力'!$B$35&gt;0)),'入力'!$B$31,0),0)</x:f>
        <x:v>13000</x:v>
      </x:c>
      <x:c r="P27" s="13" t="n">
        <x:f>IF(A27&lt;='入力'!$B$38,IF(AND(OR('入力'!$B$3=1,'入力'!$B$3=2),A27='入力'!$B$32),'入力'!$B$33,0)+IF(AND('入力'!$B$3&gt;1,'入力'!$B$35&gt;0,A27&gt;'入力'!$B$34,MOD(A27-1,'入力'!$B$34)=0),'入力'!$B$35,0),0)</x:f>
        <x:v>0</x:v>
      </x:c>
      <x:c r="Q27" s="13" t="n">
        <x:f>IF(A27='入力'!$B$38,IF(OR('入力'!$B$3=1,'入力'!$B$3=2),'入力'!$B$36,0)+IF('入力'!$B$3&gt;1,'入力'!$B$37,0),0)</x:f>
        <x:v>0</x:v>
      </x:c>
      <x:c r="R27" s="13" t="n">
        <x:f>N27-SUM(O27:Q27)</x:f>
        <x:v>108956.9347604621</x:v>
      </x:c>
      <x:c r="S27" s="13" t="n">
        <x:f>S26+R27</x:f>
        <x:v>-2237802.479741273</x:v>
      </x:c>
      <x:c r="T27" s="13" t="n">
        <x:f>R27/(1+'入力'!$B$39)^A27</x:f>
        <x:v>73324.89363711582</x:v>
      </x:c>
      <x:c r="U27" s="13" t="n">
        <x:f>R27-IF(AND(A27&lt;='入力'!$B$38,A27&lt;='入力'!$B$42),$H$3*12,0)</x:f>
        <x:v>108956.9347604621</x:v>
      </x:c>
      <x:c r="V27" s="13" t="n">
        <x:f>V26+U27</x:f>
        <x:v>-2237802.479741273</x:v>
      </x:c>
      <x:c r="W27" s="1" t="n">
        <x:f>IF(AND(A27&lt;='入力'!$B$38,S27&gt;=0,MIN(S27:$S$42)&gt;=0),A27,999)</x:f>
        <x:v>999</x:v>
      </x:c>
      <x:c r="X27" s="1"/>
      <x:c r="Y27" s="1"/>
      <x:c r="Z27" s="1"/>
      <x:c r="AA27" s="1"/>
      <x:c r="AB27" s="1"/>
      <x:c r="AC27" s="1"/>
      <x:c r="AD27" s="1"/>
    </x:row>
    <x:row r="28" ht="24" customHeight="1">
      <x:c r="A28" s="1" t="n">
        <x:f>21</x:f>
        <x:v>21</x:v>
      </x:c>
      <x:c r="B28" s="13" t="n">
        <x:f>IF(A28&lt;='入力'!$B$38,IF('入力'!$B$3=4,0,'入力'!$B$7*'入力'!$B$8*(1-'入力'!$B$18)^(A28-1)),0)</x:f>
        <x:v>4975.357641510396</x:v>
      </x:c>
      <x:c r="C28" s="13" t="n">
        <x:f>MIN(B28*'入力'!$B$15,'入力'!$B$14)</x:f>
        <x:v>1741.3751745286386</x:v>
      </x:c>
      <x:c r="D28" s="13" t="n">
        <x:f>MAX(0,B28-C28)</x:f>
        <x:v>3233.9824669817576</x:v>
      </x:c>
      <x:c r="E28" s="13" t="n">
        <x:f>IF(A28&lt;='入力'!$B$38,'入力'!$B$16*(1+'入力'!$B$17)^(A28-1),0)</x:f>
        <x:v>35</x:v>
      </x:c>
      <x:c r="F28" s="13" t="n">
        <x:f>IF(OR('入力'!$B$3=1,'入力'!$B$3=2),IF(A28&lt;=4,'入力'!$B$25,IF(A28&lt;=10,'入力'!$B$26,'入力'!$B$27)),IF(A28&lt;='入力'!$B$29,'入力'!$B$28,'入力'!$B$27))</x:f>
        <x:v>8.5</x:v>
      </x:c>
      <x:c r="G28" s="13" t="n">
        <x:f>MOD(A28-1,'入力'!$B$34)</x:f>
        <x:v>5</x:v>
      </x:c>
      <x:c r="H28" s="13" t="n">
        <x:f>IF(AND(A28&lt;='入力'!$B$38,AND('入力'!$B$3&gt;1,OR(A28&lt;='入力'!$B$34,'入力'!$B$35&gt;0))),'入力'!$B$10*'入力'!$B$21*(1-'入力'!$B$19)^G28,0)</x:f>
        <x:v>8.1352871712</x:v>
      </x:c>
      <x:c r="I28" s="13" t="n">
        <x:f>IF(AND(A28&lt;='入力'!$B$38,E28*'入力'!$B$20&gt;IF('入力'!$B$3=4,'入力'!$B$43*(1+'入力'!$B$17)^(A28-1),F28)),MIN(IF('入力'!$B$3=4,1E20,D28),H28*'入力'!$B$22*'入力'!$B$23,IF('入力'!$B$3=4,'入力'!$B$14,MIN(MAX(0,'入力'!$B$14-C28),'入力'!$B$14*'入力'!$B$24))/'入力'!$B$20),0)</x:f>
        <x:v>1525.3663446</x:v>
      </x:c>
      <x:c r="J28" s="13" t="n">
        <x:f>I28*'入力'!$B$20</x:f>
        <x:v>1296.56139291</x:v>
      </x:c>
      <x:c r="K28" s="13" t="n">
        <x:f>I28-J28</x:f>
        <x:v>228.80495169000005</x:v>
      </x:c>
      <x:c r="L28" s="13" t="n">
        <x:f>C28*E28+D28*F28</x:f>
        <x:v>88436.9820778473</x:v>
      </x:c>
      <x:c r="M28" s="13" t="n">
        <x:f>J28*E28-I28*IF('入力'!$B$3=4,'入力'!$B$43*(1+'入力'!$B$17)^(A28-1),F28)</x:f>
        <x:v>32414.03482275</x:v>
      </x:c>
      <x:c r="N28" s="13" t="n">
        <x:f>IF(OR('入力'!$B$3=1,'入力'!$B$3=2),L28,0)+M28</x:f>
        <x:v>120851.01690059729</x:v>
      </x:c>
      <x:c r="O28" s="13" t="n">
        <x:f>IF(A28&lt;='入力'!$B$38,IF(OR('入力'!$B$3=1,'入力'!$B$3=2),'入力'!$B$30,0)+IF(AND('入力'!$B$3&gt;1,OR(A28&lt;='入力'!$B$34,'入力'!$B$35&gt;0)),'入力'!$B$31,0),0)</x:f>
        <x:v>13000</x:v>
      </x:c>
      <x:c r="P28" s="13" t="n">
        <x:f>IF(A28&lt;='入力'!$B$38,IF(AND(OR('入力'!$B$3=1,'入力'!$B$3=2),A28='入力'!$B$32),'入力'!$B$33,0)+IF(AND('入力'!$B$3&gt;1,'入力'!$B$35&gt;0,A28&gt;'入力'!$B$34,MOD(A28-1,'入力'!$B$34)=0),'入力'!$B$35,0),0)</x:f>
        <x:v>0</x:v>
      </x:c>
      <x:c r="Q28" s="13" t="n">
        <x:f>IF(A28='入力'!$B$38,IF(OR('入力'!$B$3=1,'入力'!$B$3=2),'入力'!$B$36,0)+IF('入力'!$B$3&gt;1,'入力'!$B$37,0),0)</x:f>
        <x:v>0</x:v>
      </x:c>
      <x:c r="R28" s="13" t="n">
        <x:f>N28-SUM(O28:Q28)</x:f>
        <x:v>107851.01690059729</x:v>
      </x:c>
      <x:c r="S28" s="13" t="n">
        <x:f>S27+R28</x:f>
        <x:v>-2129951.462840676</x:v>
      </x:c>
      <x:c r="T28" s="13" t="n">
        <x:f>R28/(1+'入力'!$B$39)^A28</x:f>
        <x:v>71157.49276534765</x:v>
      </x:c>
      <x:c r="U28" s="13" t="n">
        <x:f>R28-IF(AND(A28&lt;='入力'!$B$38,A28&lt;='入力'!$B$42),$H$3*12,0)</x:f>
        <x:v>107851.01690059729</x:v>
      </x:c>
      <x:c r="V28" s="13" t="n">
        <x:f>V27+U28</x:f>
        <x:v>-2129951.462840676</x:v>
      </x:c>
      <x:c r="W28" s="1" t="n">
        <x:f>IF(AND(A28&lt;='入力'!$B$38,S28&gt;=0,MIN(S28:$S$42)&gt;=0),A28,999)</x:f>
        <x:v>999</x:v>
      </x:c>
      <x:c r="X28" s="1"/>
      <x:c r="Y28" s="1"/>
      <x:c r="Z28" s="1"/>
      <x:c r="AA28" s="1"/>
      <x:c r="AB28" s="1"/>
      <x:c r="AC28" s="1"/>
      <x:c r="AD28" s="1"/>
    </x:row>
    <x:row r="29" ht="24" customHeight="1">
      <x:c r="A29" s="1" t="n">
        <x:f>22</x:f>
        <x:v>22</x:v>
      </x:c>
      <x:c r="B29" s="13" t="n">
        <x:f>IF(A29&lt;='入力'!$B$38,IF('入力'!$B$3=4,0,'入力'!$B$7*'入力'!$B$8*(1-'入力'!$B$18)^(A29-1)),0)</x:f>
        <x:v>4950.4808533028445</x:v>
      </x:c>
      <x:c r="C29" s="13" t="n">
        <x:f>MIN(B29*'入力'!$B$15,'入力'!$B$14)</x:f>
        <x:v>1732.6682986559954</x:v>
      </x:c>
      <x:c r="D29" s="13" t="n">
        <x:f>MAX(0,B29-C29)</x:f>
        <x:v>3217.812554646849</x:v>
      </x:c>
      <x:c r="E29" s="13" t="n">
        <x:f>IF(A29&lt;='入力'!$B$38,'入力'!$B$16*(1+'入力'!$B$17)^(A29-1),0)</x:f>
        <x:v>35</x:v>
      </x:c>
      <x:c r="F29" s="13" t="n">
        <x:f>IF(OR('入力'!$B$3=1,'入力'!$B$3=2),IF(A29&lt;=4,'入力'!$B$25,IF(A29&lt;=10,'入力'!$B$26,'入力'!$B$27)),IF(A29&lt;='入力'!$B$29,'入力'!$B$28,'入力'!$B$27))</x:f>
        <x:v>8.5</x:v>
      </x:c>
      <x:c r="G29" s="13" t="n">
        <x:f>MOD(A29-1,'入力'!$B$34)</x:f>
        <x:v>6</x:v>
      </x:c>
      <x:c r="H29" s="13" t="n">
        <x:f>IF(AND(A29&lt;='入力'!$B$38,AND('入力'!$B$3&gt;1,OR(A29&lt;='入力'!$B$34,'入力'!$B$35&gt;0))),'入力'!$B$10*'入力'!$B$21*(1-'入力'!$B$19)^G29,0)</x:f>
        <x:v>7.972581427775999</x:v>
      </x:c>
      <x:c r="I29" s="13" t="n">
        <x:f>IF(AND(A29&lt;='入力'!$B$38,E29*'入力'!$B$20&gt;IF('入力'!$B$3=4,'入力'!$B$43*(1+'入力'!$B$17)^(A29-1),F29)),MIN(IF('入力'!$B$3=4,1E20,D29),H29*'入力'!$B$22*'入力'!$B$23,IF('入力'!$B$3=4,'入力'!$B$14,MIN(MAX(0,'入力'!$B$14-C29),'入力'!$B$14*'入力'!$B$24))/'入力'!$B$20),0)</x:f>
        <x:v>1494.8590177079998</x:v>
      </x:c>
      <x:c r="J29" s="13" t="n">
        <x:f>I29*'入力'!$B$20</x:f>
        <x:v>1270.6301650517998</x:v>
      </x:c>
      <x:c r="K29" s="13" t="n">
        <x:f>I29-J29</x:f>
        <x:v>224.22885265619993</x:v>
      </x:c>
      <x:c r="L29" s="13" t="n">
        <x:f>C29*E29+D29*F29</x:f>
        <x:v>87994.79716745805</x:v>
      </x:c>
      <x:c r="M29" s="13" t="n">
        <x:f>J29*E29-I29*IF('入力'!$B$3=4,'入力'!$B$43*(1+'入力'!$B$17)^(A29-1),F29)</x:f>
        <x:v>31765.754126294996</x:v>
      </x:c>
      <x:c r="N29" s="13" t="n">
        <x:f>IF(OR('入力'!$B$3=1,'入力'!$B$3=2),L29,0)+M29</x:f>
        <x:v>119760.55129375304</x:v>
      </x:c>
      <x:c r="O29" s="13" t="n">
        <x:f>IF(A29&lt;='入力'!$B$38,IF(OR('入力'!$B$3=1,'入力'!$B$3=2),'入力'!$B$30,0)+IF(AND('入力'!$B$3&gt;1,OR(A29&lt;='入力'!$B$34,'入力'!$B$35&gt;0)),'入力'!$B$31,0),0)</x:f>
        <x:v>13000</x:v>
      </x:c>
      <x:c r="P29" s="13" t="n">
        <x:f>IF(A29&lt;='入力'!$B$38,IF(AND(OR('入力'!$B$3=1,'入力'!$B$3=2),A29='入力'!$B$32),'入力'!$B$33,0)+IF(AND('入力'!$B$3&gt;1,'入力'!$B$35&gt;0,A29&gt;'入力'!$B$34,MOD(A29-1,'入力'!$B$34)=0),'入力'!$B$35,0),0)</x:f>
        <x:v>0</x:v>
      </x:c>
      <x:c r="Q29" s="13" t="n">
        <x:f>IF(A29='入力'!$B$38,IF(OR('入力'!$B$3=1,'入力'!$B$3=2),'入力'!$B$36,0)+IF('入力'!$B$3&gt;1,'入力'!$B$37,0),0)</x:f>
        <x:v>0</x:v>
      </x:c>
      <x:c r="R29" s="13" t="n">
        <x:f>N29-SUM(O29:Q29)</x:f>
        <x:v>106760.55129375304</x:v>
      </x:c>
      <x:c r="S29" s="13" t="n">
        <x:f>S28+R29</x:f>
        <x:v>-2023190.9115469228</x:v>
      </x:c>
      <x:c r="T29" s="13" t="n">
        <x:f>R29/(1+'入力'!$B$39)^A29</x:f>
        <x:v>69056.89208718583</x:v>
      </x:c>
      <x:c r="U29" s="13" t="n">
        <x:f>R29-IF(AND(A29&lt;='入力'!$B$38,A29&lt;='入力'!$B$42),$H$3*12,0)</x:f>
        <x:v>106760.55129375304</x:v>
      </x:c>
      <x:c r="V29" s="13" t="n">
        <x:f>V28+U29</x:f>
        <x:v>-2023190.9115469228</x:v>
      </x:c>
      <x:c r="W29" s="1" t="n">
        <x:f>IF(AND(A29&lt;='入力'!$B$38,S29&gt;=0,MIN(S29:$S$42)&gt;=0),A29,999)</x:f>
        <x:v>999</x:v>
      </x:c>
      <x:c r="X29" s="1"/>
      <x:c r="Y29" s="1"/>
      <x:c r="Z29" s="1"/>
      <x:c r="AA29" s="1"/>
      <x:c r="AB29" s="1"/>
      <x:c r="AC29" s="1"/>
      <x:c r="AD29" s="1"/>
    </x:row>
    <x:row r="30" ht="24" customHeight="1">
      <x:c r="A30" s="1" t="n">
        <x:f>23</x:f>
        <x:v>23</x:v>
      </x:c>
      <x:c r="B30" s="13" t="n">
        <x:f>IF(A30&lt;='入力'!$B$38,IF('入力'!$B$3=4,0,'入力'!$B$7*'入力'!$B$8*(1-'入力'!$B$18)^(A30-1)),0)</x:f>
        <x:v>4925.728449036331</x:v>
      </x:c>
      <x:c r="C30" s="13" t="n">
        <x:f>MIN(B30*'入力'!$B$15,'入力'!$B$14)</x:f>
        <x:v>1724.0049571627158</x:v>
      </x:c>
      <x:c r="D30" s="13" t="n">
        <x:f>MAX(0,B30-C30)</x:f>
        <x:v>3201.723491873615</x:v>
      </x:c>
      <x:c r="E30" s="13" t="n">
        <x:f>IF(A30&lt;='入力'!$B$38,'入力'!$B$16*(1+'入力'!$B$17)^(A30-1),0)</x:f>
        <x:v>35</x:v>
      </x:c>
      <x:c r="F30" s="13" t="n">
        <x:f>IF(OR('入力'!$B$3=1,'入力'!$B$3=2),IF(A30&lt;=4,'入力'!$B$25,IF(A30&lt;=10,'入力'!$B$26,'入力'!$B$27)),IF(A30&lt;='入力'!$B$29,'入力'!$B$28,'入力'!$B$27))</x:f>
        <x:v>8.5</x:v>
      </x:c>
      <x:c r="G30" s="13" t="n">
        <x:f>MOD(A30-1,'入力'!$B$34)</x:f>
        <x:v>7</x:v>
      </x:c>
      <x:c r="H30" s="13" t="n">
        <x:f>IF(AND(A30&lt;='入力'!$B$38,AND('入力'!$B$3&gt;1,OR(A30&lt;='入力'!$B$34,'入力'!$B$35&gt;0))),'入力'!$B$10*'入力'!$B$21*(1-'入力'!$B$19)^G30,0)</x:f>
        <x:v>7.813129799220479</x:v>
      </x:c>
      <x:c r="I30" s="13" t="n">
        <x:f>IF(AND(A30&lt;='入力'!$B$38,E30*'入力'!$B$20&gt;IF('入力'!$B$3=4,'入力'!$B$43*(1+'入力'!$B$17)^(A30-1),F30)),MIN(IF('入力'!$B$3=4,1E20,D30),H30*'入力'!$B$22*'入力'!$B$23,IF('入力'!$B$3=4,'入力'!$B$14,MIN(MAX(0,'入力'!$B$14-C30),'入力'!$B$14*'入力'!$B$24))/'入力'!$B$20),0)</x:f>
        <x:v>1464.9618373538399</x:v>
      </x:c>
      <x:c r="J30" s="13" t="n">
        <x:f>I30*'入力'!$B$20</x:f>
        <x:v>1245.217561750764</x:v>
      </x:c>
      <x:c r="K30" s="13" t="n">
        <x:f>I30-J30</x:f>
        <x:v>219.74427560307595</x:v>
      </x:c>
      <x:c r="L30" s="13" t="n">
        <x:f>C30*E30+D30*F30</x:f>
        <x:v>87554.82318162078</x:v>
      </x:c>
      <x:c r="M30" s="13" t="n">
        <x:f>J30*E30-I30*IF('入力'!$B$3=4,'入力'!$B$43*(1+'入力'!$B$17)^(A30-1),F30)</x:f>
        <x:v>31130.439043769104</x:v>
      </x:c>
      <x:c r="N30" s="13" t="n">
        <x:f>IF(OR('入力'!$B$3=1,'入力'!$B$3=2),L30,0)+M30</x:f>
        <x:v>118685.26222538989</x:v>
      </x:c>
      <x:c r="O30" s="13" t="n">
        <x:f>IF(A30&lt;='入力'!$B$38,IF(OR('入力'!$B$3=1,'入力'!$B$3=2),'入力'!$B$30,0)+IF(AND('入力'!$B$3&gt;1,OR(A30&lt;='入力'!$B$34,'入力'!$B$35&gt;0)),'入力'!$B$31,0),0)</x:f>
        <x:v>13000</x:v>
      </x:c>
      <x:c r="P30" s="13" t="n">
        <x:f>IF(A30&lt;='入力'!$B$38,IF(AND(OR('入力'!$B$3=1,'入力'!$B$3=2),A30='入力'!$B$32),'入力'!$B$33,0)+IF(AND('入力'!$B$3&gt;1,'入力'!$B$35&gt;0,A30&gt;'入力'!$B$34,MOD(A30-1,'入力'!$B$34)=0),'入力'!$B$35,0),0)</x:f>
        <x:v>0</x:v>
      </x:c>
      <x:c r="Q30" s="13" t="n">
        <x:f>IF(A30='入力'!$B$38,IF(OR('入力'!$B$3=1,'入力'!$B$3=2),'入力'!$B$36,0)+IF('入力'!$B$3&gt;1,'入力'!$B$37,0),0)</x:f>
        <x:v>0</x:v>
      </x:c>
      <x:c r="R30" s="13" t="n">
        <x:f>N30-SUM(O30:Q30)</x:f>
        <x:v>105685.26222538989</x:v>
      </x:c>
      <x:c r="S30" s="13" t="n">
        <x:f>S29+R30</x:f>
        <x:v>-1917505.6493215328</x:v>
      </x:c>
      <x:c r="T30" s="13" t="n">
        <x:f>R30/(1+'入力'!$B$39)^A30</x:f>
        <x:v>67020.93445365588</x:v>
      </x:c>
      <x:c r="U30" s="13" t="n">
        <x:f>R30-IF(AND(A30&lt;='入力'!$B$38,A30&lt;='入力'!$B$42),$H$3*12,0)</x:f>
        <x:v>105685.26222538989</x:v>
      </x:c>
      <x:c r="V30" s="13" t="n">
        <x:f>V29+U30</x:f>
        <x:v>-1917505.6493215328</x:v>
      </x:c>
      <x:c r="W30" s="1" t="n">
        <x:f>IF(AND(A30&lt;='入力'!$B$38,S30&gt;=0,MIN(S30:$S$42)&gt;=0),A30,999)</x:f>
        <x:v>999</x:v>
      </x:c>
      <x:c r="X30" s="1"/>
      <x:c r="Y30" s="1"/>
      <x:c r="Z30" s="1"/>
      <x:c r="AA30" s="1"/>
      <x:c r="AB30" s="1"/>
      <x:c r="AC30" s="1"/>
      <x:c r="AD30" s="1"/>
    </x:row>
    <x:row r="31" ht="24" customHeight="1">
      <x:c r="A31" s="1" t="n">
        <x:f>24</x:f>
        <x:v>24</x:v>
      </x:c>
      <x:c r="B31" s="13" t="n">
        <x:f>IF(A31&lt;='入力'!$B$38,IF('入力'!$B$3=4,0,'入力'!$B$7*'入力'!$B$8*(1-'入力'!$B$18)^(A31-1)),0)</x:f>
        <x:v>4901.099806791149</x:v>
      </x:c>
      <x:c r="C31" s="13" t="n">
        <x:f>MIN(B31*'入力'!$B$15,'入力'!$B$14)</x:f>
        <x:v>1715.384932376902</x:v>
      </x:c>
      <x:c r="D31" s="13" t="n">
        <x:f>MAX(0,B31-C31)</x:f>
        <x:v>3185.714874414247</x:v>
      </x:c>
      <x:c r="E31" s="13" t="n">
        <x:f>IF(A31&lt;='入力'!$B$38,'入力'!$B$16*(1+'入力'!$B$17)^(A31-1),0)</x:f>
        <x:v>35</x:v>
      </x:c>
      <x:c r="F31" s="13" t="n">
        <x:f>IF(OR('入力'!$B$3=1,'入力'!$B$3=2),IF(A31&lt;=4,'入力'!$B$25,IF(A31&lt;=10,'入力'!$B$26,'入力'!$B$27)),IF(A31&lt;='入力'!$B$29,'入力'!$B$28,'入力'!$B$27))</x:f>
        <x:v>8.5</x:v>
      </x:c>
      <x:c r="G31" s="13" t="n">
        <x:f>MOD(A31-1,'入力'!$B$34)</x:f>
        <x:v>8</x:v>
      </x:c>
      <x:c r="H31" s="13" t="n">
        <x:f>IF(AND(A31&lt;='入力'!$B$38,AND('入力'!$B$3&gt;1,OR(A31&lt;='入力'!$B$34,'入力'!$B$35&gt;0))),'入力'!$B$10*'入力'!$B$21*(1-'入力'!$B$19)^G31,0)</x:f>
        <x:v>7.65686720323607</x:v>
      </x:c>
      <x:c r="I31" s="13" t="n">
        <x:f>IF(AND(A31&lt;='入力'!$B$38,E31*'入力'!$B$20&gt;IF('入力'!$B$3=4,'入力'!$B$43*(1+'入力'!$B$17)^(A31-1),F31)),MIN(IF('入力'!$B$3=4,1E20,D31),H31*'入力'!$B$22*'入力'!$B$23,IF('入力'!$B$3=4,'入力'!$B$14,MIN(MAX(0,'入力'!$B$14-C31),'入力'!$B$14*'入力'!$B$24))/'入力'!$B$20),0)</x:f>
        <x:v>1435.6626006067631</x:v>
      </x:c>
      <x:c r="J31" s="13" t="n">
        <x:f>I31*'入力'!$B$20</x:f>
        <x:v>1220.3132105157486</x:v>
      </x:c>
      <x:c r="K31" s="13" t="n">
        <x:f>I31-J31</x:f>
        <x:v>215.34939009101458</x:v>
      </x:c>
      <x:c r="L31" s="13" t="n">
        <x:f>C31*E31+D31*F31</x:f>
        <x:v>87117.04906571266</x:v>
      </x:c>
      <x:c r="M31" s="13" t="n">
        <x:f>J31*E31-I31*IF('入力'!$B$3=4,'入力'!$B$43*(1+'入力'!$B$17)^(A31-1),F31)</x:f>
        <x:v>30507.830262893716</x:v>
      </x:c>
      <x:c r="N31" s="13" t="n">
        <x:f>IF(OR('入力'!$B$3=1,'入力'!$B$3=2),L31,0)+M31</x:f>
        <x:v>117624.87932860639</x:v>
      </x:c>
      <x:c r="O31" s="13" t="n">
        <x:f>IF(A31&lt;='入力'!$B$38,IF(OR('入力'!$B$3=1,'入力'!$B$3=2),'入力'!$B$30,0)+IF(AND('入力'!$B$3&gt;1,OR(A31&lt;='入力'!$B$34,'入力'!$B$35&gt;0)),'入力'!$B$31,0),0)</x:f>
        <x:v>13000</x:v>
      </x:c>
      <x:c r="P31" s="13" t="n">
        <x:f>IF(A31&lt;='入力'!$B$38,IF(AND(OR('入力'!$B$3=1,'入力'!$B$3=2),A31='入力'!$B$32),'入力'!$B$33,0)+IF(AND('入力'!$B$3&gt;1,'入力'!$B$35&gt;0,A31&gt;'入力'!$B$34,MOD(A31-1,'入力'!$B$34)=0),'入力'!$B$35,0),0)</x:f>
        <x:v>0</x:v>
      </x:c>
      <x:c r="Q31" s="13" t="n">
        <x:f>IF(A31='入力'!$B$38,IF(OR('入力'!$B$3=1,'入力'!$B$3=2),'入力'!$B$36,0)+IF('入力'!$B$3&gt;1,'入力'!$B$37,0),0)</x:f>
        <x:v>0</x:v>
      </x:c>
      <x:c r="R31" s="13" t="n">
        <x:f>N31-SUM(O31:Q31)</x:f>
        <x:v>104624.87932860639</x:v>
      </x:c>
      <x:c r="S31" s="13" t="n">
        <x:f>S30+R31</x:f>
        <x:v>-1812880.7699929264</x:v>
      </x:c>
      <x:c r="T31" s="13" t="n">
        <x:f>R31/(1+'入力'!$B$39)^A31</x:f>
        <x:v>65047.53565160322</x:v>
      </x:c>
      <x:c r="U31" s="13" t="n">
        <x:f>R31-IF(AND(A31&lt;='入力'!$B$38,A31&lt;='入力'!$B$42),$H$3*12,0)</x:f>
        <x:v>104624.87932860639</x:v>
      </x:c>
      <x:c r="V31" s="13" t="n">
        <x:f>V30+U31</x:f>
        <x:v>-1812880.7699929264</x:v>
      </x:c>
      <x:c r="W31" s="1" t="n">
        <x:f>IF(AND(A31&lt;='入力'!$B$38,S31&gt;=0,MIN(S31:$S$42)&gt;=0),A31,999)</x:f>
        <x:v>999</x:v>
      </x:c>
      <x:c r="X31" s="1"/>
      <x:c r="Y31" s="1"/>
      <x:c r="Z31" s="1"/>
      <x:c r="AA31" s="1"/>
      <x:c r="AB31" s="1"/>
      <x:c r="AC31" s="1"/>
      <x:c r="AD31" s="1"/>
    </x:row>
    <x:row r="32" ht="24" customHeight="1">
      <x:c r="A32" s="1" t="n">
        <x:f>25</x:f>
        <x:v>25</x:v>
      </x:c>
      <x:c r="B32" s="13" t="n">
        <x:f>IF(A32&lt;='入力'!$B$38,IF('入力'!$B$3=4,0,'入力'!$B$7*'入力'!$B$8*(1-'入力'!$B$18)^(A32-1)),0)</x:f>
        <x:v>4876.594307757193</x:v>
      </x:c>
      <x:c r="C32" s="13" t="n">
        <x:f>MIN(B32*'入力'!$B$15,'入力'!$B$14)</x:f>
        <x:v>1706.8080077150173</x:v>
      </x:c>
      <x:c r="D32" s="13" t="n">
        <x:f>MAX(0,B32-C32)</x:f>
        <x:v>3169.7863000421758</x:v>
      </x:c>
      <x:c r="E32" s="13" t="n">
        <x:f>IF(A32&lt;='入力'!$B$38,'入力'!$B$16*(1+'入力'!$B$17)^(A32-1),0)</x:f>
        <x:v>35</x:v>
      </x:c>
      <x:c r="F32" s="13" t="n">
        <x:f>IF(OR('入力'!$B$3=1,'入力'!$B$3=2),IF(A32&lt;=4,'入力'!$B$25,IF(A32&lt;=10,'入力'!$B$26,'入力'!$B$27)),IF(A32&lt;='入力'!$B$29,'入力'!$B$28,'入力'!$B$27))</x:f>
        <x:v>8.5</x:v>
      </x:c>
      <x:c r="G32" s="13" t="n">
        <x:f>MOD(A32-1,'入力'!$B$34)</x:f>
        <x:v>9</x:v>
      </x:c>
      <x:c r="H32" s="13" t="n">
        <x:f>IF(AND(A32&lt;='入力'!$B$38,AND('入力'!$B$3&gt;1,OR(A32&lt;='入力'!$B$34,'入力'!$B$35&gt;0))),'入力'!$B$10*'入力'!$B$21*(1-'入力'!$B$19)^G32,0)</x:f>
        <x:v>7.503729859171348</x:v>
      </x:c>
      <x:c r="I32" s="13" t="n">
        <x:f>IF(AND(A32&lt;='入力'!$B$38,E32*'入力'!$B$20&gt;IF('入力'!$B$3=4,'入力'!$B$43*(1+'入力'!$B$17)^(A32-1),F32)),MIN(IF('入力'!$B$3=4,1E20,D32),H32*'入力'!$B$22*'入力'!$B$23,IF('入力'!$B$3=4,'入力'!$B$14,MIN(MAX(0,'入力'!$B$14-C32),'入力'!$B$14*'入力'!$B$24))/'入力'!$B$20),0)</x:f>
        <x:v>1406.9493485946277</x:v>
      </x:c>
      <x:c r="J32" s="13" t="n">
        <x:f>I32*'入力'!$B$20</x:f>
        <x:v>1195.9069463054336</x:v>
      </x:c>
      <x:c r="K32" s="13" t="n">
        <x:f>I32-J32</x:f>
        <x:v>211.04240228919411</x:v>
      </x:c>
      <x:c r="L32" s="13" t="n">
        <x:f>C32*E32+D32*F32</x:f>
        <x:v>86681.4638203841</x:v>
      </x:c>
      <x:c r="M32" s="13" t="n">
        <x:f>J32*E32-I32*IF('入力'!$B$3=4,'入力'!$B$43*(1+'入力'!$B$17)^(A32-1),F32)</x:f>
        <x:v>29897.673657635838</x:v>
      </x:c>
      <x:c r="N32" s="13" t="n">
        <x:f>IF(OR('入力'!$B$3=1,'入力'!$B$3=2),L32,0)+M32</x:f>
        <x:v>116579.13747801994</x:v>
      </x:c>
      <x:c r="O32" s="13" t="n">
        <x:f>IF(A32&lt;='入力'!$B$38,IF(OR('入力'!$B$3=1,'入力'!$B$3=2),'入力'!$B$30,0)+IF(AND('入力'!$B$3&gt;1,OR(A32&lt;='入力'!$B$34,'入力'!$B$35&gt;0)),'入力'!$B$31,0),0)</x:f>
        <x:v>13000</x:v>
      </x:c>
      <x:c r="P32" s="13" t="n">
        <x:f>IF(A32&lt;='入力'!$B$38,IF(AND(OR('入力'!$B$3=1,'入力'!$B$3=2),A32='入力'!$B$32),'入力'!$B$33,0)+IF(AND('入力'!$B$3&gt;1,'入力'!$B$35&gt;0,A32&gt;'入力'!$B$34,MOD(A32-1,'入力'!$B$34)=0),'入力'!$B$35,0),0)</x:f>
        <x:v>0</x:v>
      </x:c>
      <x:c r="Q32" s="13" t="n">
        <x:f>IF(A32='入力'!$B$38,IF(OR('入力'!$B$3=1,'入力'!$B$3=2),'入力'!$B$36,0)+IF('入力'!$B$3&gt;1,'入力'!$B$37,0),0)</x:f>
        <x:v>150000</x:v>
      </x:c>
      <x:c r="R32" s="13" t="n">
        <x:f>N32-SUM(O32:Q32)</x:f>
        <x:v>-46420.86252198006</x:v>
      </x:c>
      <x:c r="S32" s="13" t="n">
        <x:f>S31+R32</x:f>
        <x:v>-1859301.6325149063</x:v>
      </x:c>
      <x:c r="T32" s="13" t="n">
        <x:f>R32/(1+'入力'!$B$39)^A32</x:f>
        <x:v>-28294.948743696063</x:v>
      </x:c>
      <x:c r="U32" s="13" t="n">
        <x:f>R32-IF(AND(A32&lt;='入力'!$B$38,A32&lt;='入力'!$B$42),$H$3*12,0)</x:f>
        <x:v>-46420.86252198006</x:v>
      </x:c>
      <x:c r="V32" s="13" t="n">
        <x:f>V31+U32</x:f>
        <x:v>-1859301.6325149063</x:v>
      </x:c>
      <x:c r="W32" s="1" t="n">
        <x:f>IF(AND(A32&lt;='入力'!$B$38,S32&gt;=0,MIN(S32:$S$42)&gt;=0),A32,999)</x:f>
        <x:v>999</x:v>
      </x:c>
      <x:c r="X32" s="1"/>
      <x:c r="Y32" s="1"/>
      <x:c r="Z32" s="1"/>
      <x:c r="AA32" s="1"/>
      <x:c r="AB32" s="1"/>
      <x:c r="AC32" s="1"/>
      <x:c r="AD32" s="1"/>
    </x:row>
    <x:row r="33" ht="24" customHeight="1">
      <x:c r="A33" s="1" t="n">
        <x:f>26</x:f>
        <x:v>26</x:v>
      </x:c>
      <x:c r="B33" s="13" t="n">
        <x:f>IF(A33&lt;='入力'!$B$38,IF('入力'!$B$3=4,0,'入力'!$B$7*'入力'!$B$8*(1-'入力'!$B$18)^(A33-1)),0)</x:f>
        <x:v>0</x:v>
      </x:c>
      <x:c r="C33" s="13" t="n">
        <x:f>MIN(B33*'入力'!$B$15,'入力'!$B$14)</x:f>
        <x:v>0</x:v>
      </x:c>
      <x:c r="D33" s="13" t="n">
        <x:f>MAX(0,B33-C33)</x:f>
        <x:v>0</x:v>
      </x:c>
      <x:c r="E33" s="13" t="n">
        <x:f>IF(A33&lt;='入力'!$B$38,'入力'!$B$16*(1+'入力'!$B$17)^(A33-1),0)</x:f>
        <x:v>0</x:v>
      </x:c>
      <x:c r="F33" s="13" t="n">
        <x:f>IF(OR('入力'!$B$3=1,'入力'!$B$3=2),IF(A33&lt;=4,'入力'!$B$25,IF(A33&lt;=10,'入力'!$B$26,'入力'!$B$27)),IF(A33&lt;='入力'!$B$29,'入力'!$B$28,'入力'!$B$27))</x:f>
        <x:v>8.5</x:v>
      </x:c>
      <x:c r="G33" s="13" t="n">
        <x:f>MOD(A33-1,'入力'!$B$34)</x:f>
        <x:v>10</x:v>
      </x:c>
      <x:c r="H33" s="13" t="n">
        <x:f>IF(AND(A33&lt;='入力'!$B$38,AND('入力'!$B$3&gt;1,OR(A33&lt;='入力'!$B$34,'入力'!$B$35&gt;0))),'入力'!$B$10*'入力'!$B$21*(1-'入力'!$B$19)^G33,0)</x:f>
        <x:v>0</x:v>
      </x:c>
      <x:c r="I33" s="13" t="n">
        <x:f>IF(AND(A33&lt;='入力'!$B$38,E33*'入力'!$B$20&gt;IF('入力'!$B$3=4,'入力'!$B$43*(1+'入力'!$B$17)^(A33-1),F33)),MIN(IF('入力'!$B$3=4,1E20,D33),H33*'入力'!$B$22*'入力'!$B$23,IF('入力'!$B$3=4,'入力'!$B$14,MIN(MAX(0,'入力'!$B$14-C33),'入力'!$B$14*'入力'!$B$24))/'入力'!$B$20),0)</x:f>
        <x:v>0</x:v>
      </x:c>
      <x:c r="J33" s="13" t="n">
        <x:f>I33*'入力'!$B$20</x:f>
        <x:v>0</x:v>
      </x:c>
      <x:c r="K33" s="13" t="n">
        <x:f>I33-J33</x:f>
        <x:v>0</x:v>
      </x:c>
      <x:c r="L33" s="13" t="n">
        <x:f>C33*E33+D33*F33</x:f>
        <x:v>0</x:v>
      </x:c>
      <x:c r="M33" s="13" t="n">
        <x:f>J33*E33-I33*IF('入力'!$B$3=4,'入力'!$B$43*(1+'入力'!$B$17)^(A33-1),F33)</x:f>
        <x:v>0</x:v>
      </x:c>
      <x:c r="N33" s="13" t="n">
        <x:f>IF(OR('入力'!$B$3=1,'入力'!$B$3=2),L33,0)+M33</x:f>
        <x:v>0</x:v>
      </x:c>
      <x:c r="O33" s="13" t="n">
        <x:f>IF(A33&lt;='入力'!$B$38,IF(OR('入力'!$B$3=1,'入力'!$B$3=2),'入力'!$B$30,0)+IF(AND('入力'!$B$3&gt;1,OR(A33&lt;='入力'!$B$34,'入力'!$B$35&gt;0)),'入力'!$B$31,0),0)</x:f>
        <x:v>0</x:v>
      </x:c>
      <x:c r="P33" s="13" t="n">
        <x:f>IF(A33&lt;='入力'!$B$38,IF(AND(OR('入力'!$B$3=1,'入力'!$B$3=2),A33='入力'!$B$32),'入力'!$B$33,0)+IF(AND('入力'!$B$3&gt;1,'入力'!$B$35&gt;0,A33&gt;'入力'!$B$34,MOD(A33-1,'入力'!$B$34)=0),'入力'!$B$35,0),0)</x:f>
        <x:v>0</x:v>
      </x:c>
      <x:c r="Q33" s="13" t="n">
        <x:f>IF(A33='入力'!$B$38,IF(OR('入力'!$B$3=1,'入力'!$B$3=2),'入力'!$B$36,0)+IF('入力'!$B$3&gt;1,'入力'!$B$37,0),0)</x:f>
        <x:v>0</x:v>
      </x:c>
      <x:c r="R33" s="13" t="n">
        <x:f>N33-SUM(O33:Q33)</x:f>
        <x:v>0</x:v>
      </x:c>
      <x:c r="S33" s="13" t="n">
        <x:f>S32+R33</x:f>
        <x:v>-1859301.6325149063</x:v>
      </x:c>
      <x:c r="T33" s="13" t="n">
        <x:f>R33/(1+'入力'!$B$39)^A33</x:f>
        <x:v>0</x:v>
      </x:c>
      <x:c r="U33" s="13" t="n">
        <x:f>R33-IF(AND(A33&lt;='入力'!$B$38,A33&lt;='入力'!$B$42),$H$3*12,0)</x:f>
        <x:v>0</x:v>
      </x:c>
      <x:c r="V33" s="13" t="n">
        <x:f>V32+U33</x:f>
        <x:v>-1859301.6325149063</x:v>
      </x:c>
      <x:c r="W33" s="1" t="n">
        <x:f>IF(AND(A33&lt;='入力'!$B$38,S33&gt;=0,MIN(S33:$S$42)&gt;=0),A33,999)</x:f>
        <x:v>999</x:v>
      </x:c>
      <x:c r="X33" s="1"/>
      <x:c r="Y33" s="1"/>
      <x:c r="Z33" s="1"/>
      <x:c r="AA33" s="1"/>
      <x:c r="AB33" s="1"/>
      <x:c r="AC33" s="1"/>
      <x:c r="AD33" s="1"/>
    </x:row>
    <x:row r="34" ht="24" customHeight="1">
      <x:c r="A34" s="1" t="n">
        <x:f>27</x:f>
        <x:v>27</x:v>
      </x:c>
      <x:c r="B34" s="13" t="n">
        <x:f>IF(A34&lt;='入力'!$B$38,IF('入力'!$B$3=4,0,'入力'!$B$7*'入力'!$B$8*(1-'入力'!$B$18)^(A34-1)),0)</x:f>
        <x:v>0</x:v>
      </x:c>
      <x:c r="C34" s="13" t="n">
        <x:f>MIN(B34*'入力'!$B$15,'入力'!$B$14)</x:f>
        <x:v>0</x:v>
      </x:c>
      <x:c r="D34" s="13" t="n">
        <x:f>MAX(0,B34-C34)</x:f>
        <x:v>0</x:v>
      </x:c>
      <x:c r="E34" s="13" t="n">
        <x:f>IF(A34&lt;='入力'!$B$38,'入力'!$B$16*(1+'入力'!$B$17)^(A34-1),0)</x:f>
        <x:v>0</x:v>
      </x:c>
      <x:c r="F34" s="13" t="n">
        <x:f>IF(OR('入力'!$B$3=1,'入力'!$B$3=2),IF(A34&lt;=4,'入力'!$B$25,IF(A34&lt;=10,'入力'!$B$26,'入力'!$B$27)),IF(A34&lt;='入力'!$B$29,'入力'!$B$28,'入力'!$B$27))</x:f>
        <x:v>8.5</x:v>
      </x:c>
      <x:c r="G34" s="13" t="n">
        <x:f>MOD(A34-1,'入力'!$B$34)</x:f>
        <x:v>11</x:v>
      </x:c>
      <x:c r="H34" s="13" t="n">
        <x:f>IF(AND(A34&lt;='入力'!$B$38,AND('入力'!$B$3&gt;1,OR(A34&lt;='入力'!$B$34,'入力'!$B$35&gt;0))),'入力'!$B$10*'入力'!$B$21*(1-'入力'!$B$19)^G34,0)</x:f>
        <x:v>0</x:v>
      </x:c>
      <x:c r="I34" s="13" t="n">
        <x:f>IF(AND(A34&lt;='入力'!$B$38,E34*'入力'!$B$20&gt;IF('入力'!$B$3=4,'入力'!$B$43*(1+'入力'!$B$17)^(A34-1),F34)),MIN(IF('入力'!$B$3=4,1E20,D34),H34*'入力'!$B$22*'入力'!$B$23,IF('入力'!$B$3=4,'入力'!$B$14,MIN(MAX(0,'入力'!$B$14-C34),'入力'!$B$14*'入力'!$B$24))/'入力'!$B$20),0)</x:f>
        <x:v>0</x:v>
      </x:c>
      <x:c r="J34" s="13" t="n">
        <x:f>I34*'入力'!$B$20</x:f>
        <x:v>0</x:v>
      </x:c>
      <x:c r="K34" s="13" t="n">
        <x:f>I34-J34</x:f>
        <x:v>0</x:v>
      </x:c>
      <x:c r="L34" s="13" t="n">
        <x:f>C34*E34+D34*F34</x:f>
        <x:v>0</x:v>
      </x:c>
      <x:c r="M34" s="13" t="n">
        <x:f>J34*E34-I34*IF('入力'!$B$3=4,'入力'!$B$43*(1+'入力'!$B$17)^(A34-1),F34)</x:f>
        <x:v>0</x:v>
      </x:c>
      <x:c r="N34" s="13" t="n">
        <x:f>IF(OR('入力'!$B$3=1,'入力'!$B$3=2),L34,0)+M34</x:f>
        <x:v>0</x:v>
      </x:c>
      <x:c r="O34" s="13" t="n">
        <x:f>IF(A34&lt;='入力'!$B$38,IF(OR('入力'!$B$3=1,'入力'!$B$3=2),'入力'!$B$30,0)+IF(AND('入力'!$B$3&gt;1,OR(A34&lt;='入力'!$B$34,'入力'!$B$35&gt;0)),'入力'!$B$31,0),0)</x:f>
        <x:v>0</x:v>
      </x:c>
      <x:c r="P34" s="13" t="n">
        <x:f>IF(A34&lt;='入力'!$B$38,IF(AND(OR('入力'!$B$3=1,'入力'!$B$3=2),A34='入力'!$B$32),'入力'!$B$33,0)+IF(AND('入力'!$B$3&gt;1,'入力'!$B$35&gt;0,A34&gt;'入力'!$B$34,MOD(A34-1,'入力'!$B$34)=0),'入力'!$B$35,0),0)</x:f>
        <x:v>0</x:v>
      </x:c>
      <x:c r="Q34" s="13" t="n">
        <x:f>IF(A34='入力'!$B$38,IF(OR('入力'!$B$3=1,'入力'!$B$3=2),'入力'!$B$36,0)+IF('入力'!$B$3&gt;1,'入力'!$B$37,0),0)</x:f>
        <x:v>0</x:v>
      </x:c>
      <x:c r="R34" s="13" t="n">
        <x:f>N34-SUM(O34:Q34)</x:f>
        <x:v>0</x:v>
      </x:c>
      <x:c r="S34" s="13" t="n">
        <x:f>S33+R34</x:f>
        <x:v>-1859301.6325149063</x:v>
      </x:c>
      <x:c r="T34" s="13" t="n">
        <x:f>R34/(1+'入力'!$B$39)^A34</x:f>
        <x:v>0</x:v>
      </x:c>
      <x:c r="U34" s="13" t="n">
        <x:f>R34-IF(AND(A34&lt;='入力'!$B$38,A34&lt;='入力'!$B$42),$H$3*12,0)</x:f>
        <x:v>0</x:v>
      </x:c>
      <x:c r="V34" s="13" t="n">
        <x:f>V33+U34</x:f>
        <x:v>-1859301.6325149063</x:v>
      </x:c>
      <x:c r="W34" s="1" t="n">
        <x:f>IF(AND(A34&lt;='入力'!$B$38,S34&gt;=0,MIN(S34:$S$42)&gt;=0),A34,999)</x:f>
        <x:v>999</x:v>
      </x:c>
      <x:c r="X34" s="1"/>
      <x:c r="Y34" s="1"/>
      <x:c r="Z34" s="1"/>
      <x:c r="AA34" s="1"/>
      <x:c r="AB34" s="1"/>
      <x:c r="AC34" s="1"/>
      <x:c r="AD34" s="1"/>
    </x:row>
    <x:row r="35" ht="24" customHeight="1">
      <x:c r="A35" s="1" t="n">
        <x:f>28</x:f>
        <x:v>28</x:v>
      </x:c>
      <x:c r="B35" s="13" t="n">
        <x:f>IF(A35&lt;='入力'!$B$38,IF('入力'!$B$3=4,0,'入力'!$B$7*'入力'!$B$8*(1-'入力'!$B$18)^(A35-1)),0)</x:f>
        <x:v>0</x:v>
      </x:c>
      <x:c r="C35" s="13" t="n">
        <x:f>MIN(B35*'入力'!$B$15,'入力'!$B$14)</x:f>
        <x:v>0</x:v>
      </x:c>
      <x:c r="D35" s="13" t="n">
        <x:f>MAX(0,B35-C35)</x:f>
        <x:v>0</x:v>
      </x:c>
      <x:c r="E35" s="13" t="n">
        <x:f>IF(A35&lt;='入力'!$B$38,'入力'!$B$16*(1+'入力'!$B$17)^(A35-1),0)</x:f>
        <x:v>0</x:v>
      </x:c>
      <x:c r="F35" s="13" t="n">
        <x:f>IF(OR('入力'!$B$3=1,'入力'!$B$3=2),IF(A35&lt;=4,'入力'!$B$25,IF(A35&lt;=10,'入力'!$B$26,'入力'!$B$27)),IF(A35&lt;='入力'!$B$29,'入力'!$B$28,'入力'!$B$27))</x:f>
        <x:v>8.5</x:v>
      </x:c>
      <x:c r="G35" s="13" t="n">
        <x:f>MOD(A35-1,'入力'!$B$34)</x:f>
        <x:v>12</x:v>
      </x:c>
      <x:c r="H35" s="13" t="n">
        <x:f>IF(AND(A35&lt;='入力'!$B$38,AND('入力'!$B$3&gt;1,OR(A35&lt;='入力'!$B$34,'入力'!$B$35&gt;0))),'入力'!$B$10*'入力'!$B$21*(1-'入力'!$B$19)^G35,0)</x:f>
        <x:v>0</x:v>
      </x:c>
      <x:c r="I35" s="13" t="n">
        <x:f>IF(AND(A35&lt;='入力'!$B$38,E35*'入力'!$B$20&gt;IF('入力'!$B$3=4,'入力'!$B$43*(1+'入力'!$B$17)^(A35-1),F35)),MIN(IF('入力'!$B$3=4,1E20,D35),H35*'入力'!$B$22*'入力'!$B$23,IF('入力'!$B$3=4,'入力'!$B$14,MIN(MAX(0,'入力'!$B$14-C35),'入力'!$B$14*'入力'!$B$24))/'入力'!$B$20),0)</x:f>
        <x:v>0</x:v>
      </x:c>
      <x:c r="J35" s="13" t="n">
        <x:f>I35*'入力'!$B$20</x:f>
        <x:v>0</x:v>
      </x:c>
      <x:c r="K35" s="13" t="n">
        <x:f>I35-J35</x:f>
        <x:v>0</x:v>
      </x:c>
      <x:c r="L35" s="13" t="n">
        <x:f>C35*E35+D35*F35</x:f>
        <x:v>0</x:v>
      </x:c>
      <x:c r="M35" s="13" t="n">
        <x:f>J35*E35-I35*IF('入力'!$B$3=4,'入力'!$B$43*(1+'入力'!$B$17)^(A35-1),F35)</x:f>
        <x:v>0</x:v>
      </x:c>
      <x:c r="N35" s="13" t="n">
        <x:f>IF(OR('入力'!$B$3=1,'入力'!$B$3=2),L35,0)+M35</x:f>
        <x:v>0</x:v>
      </x:c>
      <x:c r="O35" s="13" t="n">
        <x:f>IF(A35&lt;='入力'!$B$38,IF(OR('入力'!$B$3=1,'入力'!$B$3=2),'入力'!$B$30,0)+IF(AND('入力'!$B$3&gt;1,OR(A35&lt;='入力'!$B$34,'入力'!$B$35&gt;0)),'入力'!$B$31,0),0)</x:f>
        <x:v>0</x:v>
      </x:c>
      <x:c r="P35" s="13" t="n">
        <x:f>IF(A35&lt;='入力'!$B$38,IF(AND(OR('入力'!$B$3=1,'入力'!$B$3=2),A35='入力'!$B$32),'入力'!$B$33,0)+IF(AND('入力'!$B$3&gt;1,'入力'!$B$35&gt;0,A35&gt;'入力'!$B$34,MOD(A35-1,'入力'!$B$34)=0),'入力'!$B$35,0),0)</x:f>
        <x:v>0</x:v>
      </x:c>
      <x:c r="Q35" s="13" t="n">
        <x:f>IF(A35='入力'!$B$38,IF(OR('入力'!$B$3=1,'入力'!$B$3=2),'入力'!$B$36,0)+IF('入力'!$B$3&gt;1,'入力'!$B$37,0),0)</x:f>
        <x:v>0</x:v>
      </x:c>
      <x:c r="R35" s="13" t="n">
        <x:f>N35-SUM(O35:Q35)</x:f>
        <x:v>0</x:v>
      </x:c>
      <x:c r="S35" s="13" t="n">
        <x:f>S34+R35</x:f>
        <x:v>-1859301.6325149063</x:v>
      </x:c>
      <x:c r="T35" s="13" t="n">
        <x:f>R35/(1+'入力'!$B$39)^A35</x:f>
        <x:v>0</x:v>
      </x:c>
      <x:c r="U35" s="13" t="n">
        <x:f>R35-IF(AND(A35&lt;='入力'!$B$38,A35&lt;='入力'!$B$42),$H$3*12,0)</x:f>
        <x:v>0</x:v>
      </x:c>
      <x:c r="V35" s="13" t="n">
        <x:f>V34+U35</x:f>
        <x:v>-1859301.6325149063</x:v>
      </x:c>
      <x:c r="W35" s="1" t="n">
        <x:f>IF(AND(A35&lt;='入力'!$B$38,S35&gt;=0,MIN(S35:$S$42)&gt;=0),A35,999)</x:f>
        <x:v>999</x:v>
      </x:c>
      <x:c r="X35" s="1"/>
      <x:c r="Y35" s="1"/>
      <x:c r="Z35" s="1"/>
      <x:c r="AA35" s="1"/>
      <x:c r="AB35" s="1"/>
      <x:c r="AC35" s="1"/>
      <x:c r="AD35" s="1"/>
    </x:row>
    <x:row r="36" ht="24" customHeight="1">
      <x:c r="A36" s="1" t="n">
        <x:f>29</x:f>
        <x:v>29</x:v>
      </x:c>
      <x:c r="B36" s="13" t="n">
        <x:f>IF(A36&lt;='入力'!$B$38,IF('入力'!$B$3=4,0,'入力'!$B$7*'入力'!$B$8*(1-'入力'!$B$18)^(A36-1)),0)</x:f>
        <x:v>0</x:v>
      </x:c>
      <x:c r="C36" s="13" t="n">
        <x:f>MIN(B36*'入力'!$B$15,'入力'!$B$14)</x:f>
        <x:v>0</x:v>
      </x:c>
      <x:c r="D36" s="13" t="n">
        <x:f>MAX(0,B36-C36)</x:f>
        <x:v>0</x:v>
      </x:c>
      <x:c r="E36" s="13" t="n">
        <x:f>IF(A36&lt;='入力'!$B$38,'入力'!$B$16*(1+'入力'!$B$17)^(A36-1),0)</x:f>
        <x:v>0</x:v>
      </x:c>
      <x:c r="F36" s="13" t="n">
        <x:f>IF(OR('入力'!$B$3=1,'入力'!$B$3=2),IF(A36&lt;=4,'入力'!$B$25,IF(A36&lt;=10,'入力'!$B$26,'入力'!$B$27)),IF(A36&lt;='入力'!$B$29,'入力'!$B$28,'入力'!$B$27))</x:f>
        <x:v>8.5</x:v>
      </x:c>
      <x:c r="G36" s="13" t="n">
        <x:f>MOD(A36-1,'入力'!$B$34)</x:f>
        <x:v>13</x:v>
      </x:c>
      <x:c r="H36" s="13" t="n">
        <x:f>IF(AND(A36&lt;='入力'!$B$38,AND('入力'!$B$3&gt;1,OR(A36&lt;='入力'!$B$34,'入力'!$B$35&gt;0))),'入力'!$B$10*'入力'!$B$21*(1-'入力'!$B$19)^G36,0)</x:f>
        <x:v>0</x:v>
      </x:c>
      <x:c r="I36" s="13" t="n">
        <x:f>IF(AND(A36&lt;='入力'!$B$38,E36*'入力'!$B$20&gt;IF('入力'!$B$3=4,'入力'!$B$43*(1+'入力'!$B$17)^(A36-1),F36)),MIN(IF('入力'!$B$3=4,1E20,D36),H36*'入力'!$B$22*'入力'!$B$23,IF('入力'!$B$3=4,'入力'!$B$14,MIN(MAX(0,'入力'!$B$14-C36),'入力'!$B$14*'入力'!$B$24))/'入力'!$B$20),0)</x:f>
        <x:v>0</x:v>
      </x:c>
      <x:c r="J36" s="13" t="n">
        <x:f>I36*'入力'!$B$20</x:f>
        <x:v>0</x:v>
      </x:c>
      <x:c r="K36" s="13" t="n">
        <x:f>I36-J36</x:f>
        <x:v>0</x:v>
      </x:c>
      <x:c r="L36" s="13" t="n">
        <x:f>C36*E36+D36*F36</x:f>
        <x:v>0</x:v>
      </x:c>
      <x:c r="M36" s="13" t="n">
        <x:f>J36*E36-I36*IF('入力'!$B$3=4,'入力'!$B$43*(1+'入力'!$B$17)^(A36-1),F36)</x:f>
        <x:v>0</x:v>
      </x:c>
      <x:c r="N36" s="13" t="n">
        <x:f>IF(OR('入力'!$B$3=1,'入力'!$B$3=2),L36,0)+M36</x:f>
        <x:v>0</x:v>
      </x:c>
      <x:c r="O36" s="13" t="n">
        <x:f>IF(A36&lt;='入力'!$B$38,IF(OR('入力'!$B$3=1,'入力'!$B$3=2),'入力'!$B$30,0)+IF(AND('入力'!$B$3&gt;1,OR(A36&lt;='入力'!$B$34,'入力'!$B$35&gt;0)),'入力'!$B$31,0),0)</x:f>
        <x:v>0</x:v>
      </x:c>
      <x:c r="P36" s="13" t="n">
        <x:f>IF(A36&lt;='入力'!$B$38,IF(AND(OR('入力'!$B$3=1,'入力'!$B$3=2),A36='入力'!$B$32),'入力'!$B$33,0)+IF(AND('入力'!$B$3&gt;1,'入力'!$B$35&gt;0,A36&gt;'入力'!$B$34,MOD(A36-1,'入力'!$B$34)=0),'入力'!$B$35,0),0)</x:f>
        <x:v>0</x:v>
      </x:c>
      <x:c r="Q36" s="13" t="n">
        <x:f>IF(A36='入力'!$B$38,IF(OR('入力'!$B$3=1,'入力'!$B$3=2),'入力'!$B$36,0)+IF('入力'!$B$3&gt;1,'入力'!$B$37,0),0)</x:f>
        <x:v>0</x:v>
      </x:c>
      <x:c r="R36" s="13" t="n">
        <x:f>N36-SUM(O36:Q36)</x:f>
        <x:v>0</x:v>
      </x:c>
      <x:c r="S36" s="13" t="n">
        <x:f>S35+R36</x:f>
        <x:v>-1859301.6325149063</x:v>
      </x:c>
      <x:c r="T36" s="13" t="n">
        <x:f>R36/(1+'入力'!$B$39)^A36</x:f>
        <x:v>0</x:v>
      </x:c>
      <x:c r="U36" s="13" t="n">
        <x:f>R36-IF(AND(A36&lt;='入力'!$B$38,A36&lt;='入力'!$B$42),$H$3*12,0)</x:f>
        <x:v>0</x:v>
      </x:c>
      <x:c r="V36" s="13" t="n">
        <x:f>V35+U36</x:f>
        <x:v>-1859301.6325149063</x:v>
      </x:c>
      <x:c r="W36" s="1" t="n">
        <x:f>IF(AND(A36&lt;='入力'!$B$38,S36&gt;=0,MIN(S36:$S$42)&gt;=0),A36,999)</x:f>
        <x:v>999</x:v>
      </x:c>
      <x:c r="X36" s="1"/>
      <x:c r="Y36" s="1"/>
      <x:c r="Z36" s="1"/>
      <x:c r="AA36" s="1"/>
      <x:c r="AB36" s="1"/>
      <x:c r="AC36" s="1"/>
      <x:c r="AD36" s="1"/>
    </x:row>
    <x:row r="37" ht="24" customHeight="1">
      <x:c r="A37" s="1" t="n">
        <x:f>30</x:f>
        <x:v>30</x:v>
      </x:c>
      <x:c r="B37" s="13" t="n">
        <x:f>IF(A37&lt;='入力'!$B$38,IF('入力'!$B$3=4,0,'入力'!$B$7*'入力'!$B$8*(1-'入力'!$B$18)^(A37-1)),0)</x:f>
        <x:v>0</x:v>
      </x:c>
      <x:c r="C37" s="13" t="n">
        <x:f>MIN(B37*'入力'!$B$15,'入力'!$B$14)</x:f>
        <x:v>0</x:v>
      </x:c>
      <x:c r="D37" s="13" t="n">
        <x:f>MAX(0,B37-C37)</x:f>
        <x:v>0</x:v>
      </x:c>
      <x:c r="E37" s="13" t="n">
        <x:f>IF(A37&lt;='入力'!$B$38,'入力'!$B$16*(1+'入力'!$B$17)^(A37-1),0)</x:f>
        <x:v>0</x:v>
      </x:c>
      <x:c r="F37" s="13" t="n">
        <x:f>IF(OR('入力'!$B$3=1,'入力'!$B$3=2),IF(A37&lt;=4,'入力'!$B$25,IF(A37&lt;=10,'入力'!$B$26,'入力'!$B$27)),IF(A37&lt;='入力'!$B$29,'入力'!$B$28,'入力'!$B$27))</x:f>
        <x:v>8.5</x:v>
      </x:c>
      <x:c r="G37" s="13" t="n">
        <x:f>MOD(A37-1,'入力'!$B$34)</x:f>
        <x:v>14</x:v>
      </x:c>
      <x:c r="H37" s="13" t="n">
        <x:f>IF(AND(A37&lt;='入力'!$B$38,AND('入力'!$B$3&gt;1,OR(A37&lt;='入力'!$B$34,'入力'!$B$35&gt;0))),'入力'!$B$10*'入力'!$B$21*(1-'入力'!$B$19)^G37,0)</x:f>
        <x:v>0</x:v>
      </x:c>
      <x:c r="I37" s="13" t="n">
        <x:f>IF(AND(A37&lt;='入力'!$B$38,E37*'入力'!$B$20&gt;IF('入力'!$B$3=4,'入力'!$B$43*(1+'入力'!$B$17)^(A37-1),F37)),MIN(IF('入力'!$B$3=4,1E20,D37),H37*'入力'!$B$22*'入力'!$B$23,IF('入力'!$B$3=4,'入力'!$B$14,MIN(MAX(0,'入力'!$B$14-C37),'入力'!$B$14*'入力'!$B$24))/'入力'!$B$20),0)</x:f>
        <x:v>0</x:v>
      </x:c>
      <x:c r="J37" s="13" t="n">
        <x:f>I37*'入力'!$B$20</x:f>
        <x:v>0</x:v>
      </x:c>
      <x:c r="K37" s="13" t="n">
        <x:f>I37-J37</x:f>
        <x:v>0</x:v>
      </x:c>
      <x:c r="L37" s="13" t="n">
        <x:f>C37*E37+D37*F37</x:f>
        <x:v>0</x:v>
      </x:c>
      <x:c r="M37" s="13" t="n">
        <x:f>J37*E37-I37*IF('入力'!$B$3=4,'入力'!$B$43*(1+'入力'!$B$17)^(A37-1),F37)</x:f>
        <x:v>0</x:v>
      </x:c>
      <x:c r="N37" s="13" t="n">
        <x:f>IF(OR('入力'!$B$3=1,'入力'!$B$3=2),L37,0)+M37</x:f>
        <x:v>0</x:v>
      </x:c>
      <x:c r="O37" s="13" t="n">
        <x:f>IF(A37&lt;='入力'!$B$38,IF(OR('入力'!$B$3=1,'入力'!$B$3=2),'入力'!$B$30,0)+IF(AND('入力'!$B$3&gt;1,OR(A37&lt;='入力'!$B$34,'入力'!$B$35&gt;0)),'入力'!$B$31,0),0)</x:f>
        <x:v>0</x:v>
      </x:c>
      <x:c r="P37" s="13" t="n">
        <x:f>IF(A37&lt;='入力'!$B$38,IF(AND(OR('入力'!$B$3=1,'入力'!$B$3=2),A37='入力'!$B$32),'入力'!$B$33,0)+IF(AND('入力'!$B$3&gt;1,'入力'!$B$35&gt;0,A37&gt;'入力'!$B$34,MOD(A37-1,'入力'!$B$34)=0),'入力'!$B$35,0),0)</x:f>
        <x:v>0</x:v>
      </x:c>
      <x:c r="Q37" s="13" t="n">
        <x:f>IF(A37='入力'!$B$38,IF(OR('入力'!$B$3=1,'入力'!$B$3=2),'入力'!$B$36,0)+IF('入力'!$B$3&gt;1,'入力'!$B$37,0),0)</x:f>
        <x:v>0</x:v>
      </x:c>
      <x:c r="R37" s="13" t="n">
        <x:f>N37-SUM(O37:Q37)</x:f>
        <x:v>0</x:v>
      </x:c>
      <x:c r="S37" s="13" t="n">
        <x:f>S36+R37</x:f>
        <x:v>-1859301.6325149063</x:v>
      </x:c>
      <x:c r="T37" s="13" t="n">
        <x:f>R37/(1+'入力'!$B$39)^A37</x:f>
        <x:v>0</x:v>
      </x:c>
      <x:c r="U37" s="13" t="n">
        <x:f>R37-IF(AND(A37&lt;='入力'!$B$38,A37&lt;='入力'!$B$42),$H$3*12,0)</x:f>
        <x:v>0</x:v>
      </x:c>
      <x:c r="V37" s="13" t="n">
        <x:f>V36+U37</x:f>
        <x:v>-1859301.6325149063</x:v>
      </x:c>
      <x:c r="W37" s="1" t="n">
        <x:f>IF(AND(A37&lt;='入力'!$B$38,S37&gt;=0,MIN(S37:$S$42)&gt;=0),A37,999)</x:f>
        <x:v>999</x:v>
      </x:c>
      <x:c r="X37" s="1"/>
      <x:c r="Y37" s="1"/>
      <x:c r="Z37" s="1"/>
      <x:c r="AA37" s="1"/>
      <x:c r="AB37" s="1"/>
      <x:c r="AC37" s="1"/>
      <x:c r="AD37" s="1"/>
    </x:row>
    <x:row r="38" ht="24" customHeight="1">
      <x:c r="A38" s="1" t="n">
        <x:f>31</x:f>
        <x:v>31</x:v>
      </x:c>
      <x:c r="B38" s="13" t="n">
        <x:f>IF(A38&lt;='入力'!$B$38,IF('入力'!$B$3=4,0,'入力'!$B$7*'入力'!$B$8*(1-'入力'!$B$18)^(A38-1)),0)</x:f>
        <x:v>0</x:v>
      </x:c>
      <x:c r="C38" s="13" t="n">
        <x:f>MIN(B38*'入力'!$B$15,'入力'!$B$14)</x:f>
        <x:v>0</x:v>
      </x:c>
      <x:c r="D38" s="13" t="n">
        <x:f>MAX(0,B38-C38)</x:f>
        <x:v>0</x:v>
      </x:c>
      <x:c r="E38" s="13" t="n">
        <x:f>IF(A38&lt;='入力'!$B$38,'入力'!$B$16*(1+'入力'!$B$17)^(A38-1),0)</x:f>
        <x:v>0</x:v>
      </x:c>
      <x:c r="F38" s="13" t="n">
        <x:f>IF(OR('入力'!$B$3=1,'入力'!$B$3=2),IF(A38&lt;=4,'入力'!$B$25,IF(A38&lt;=10,'入力'!$B$26,'入力'!$B$27)),IF(A38&lt;='入力'!$B$29,'入力'!$B$28,'入力'!$B$27))</x:f>
        <x:v>8.5</x:v>
      </x:c>
      <x:c r="G38" s="13" t="n">
        <x:f>MOD(A38-1,'入力'!$B$34)</x:f>
        <x:v>0</x:v>
      </x:c>
      <x:c r="H38" s="13" t="n">
        <x:f>IF(AND(A38&lt;='入力'!$B$38,AND('入力'!$B$3&gt;1,OR(A38&lt;='入力'!$B$34,'入力'!$B$35&gt;0))),'入力'!$B$10*'入力'!$B$21*(1-'入力'!$B$19)^G38,0)</x:f>
        <x:v>0</x:v>
      </x:c>
      <x:c r="I38" s="13" t="n">
        <x:f>IF(AND(A38&lt;='入力'!$B$38,E38*'入力'!$B$20&gt;IF('入力'!$B$3=4,'入力'!$B$43*(1+'入力'!$B$17)^(A38-1),F38)),MIN(IF('入力'!$B$3=4,1E20,D38),H38*'入力'!$B$22*'入力'!$B$23,IF('入力'!$B$3=4,'入力'!$B$14,MIN(MAX(0,'入力'!$B$14-C38),'入力'!$B$14*'入力'!$B$24))/'入力'!$B$20),0)</x:f>
        <x:v>0</x:v>
      </x:c>
      <x:c r="J38" s="13" t="n">
        <x:f>I38*'入力'!$B$20</x:f>
        <x:v>0</x:v>
      </x:c>
      <x:c r="K38" s="13" t="n">
        <x:f>I38-J38</x:f>
        <x:v>0</x:v>
      </x:c>
      <x:c r="L38" s="13" t="n">
        <x:f>C38*E38+D38*F38</x:f>
        <x:v>0</x:v>
      </x:c>
      <x:c r="M38" s="13" t="n">
        <x:f>J38*E38-I38*IF('入力'!$B$3=4,'入力'!$B$43*(1+'入力'!$B$17)^(A38-1),F38)</x:f>
        <x:v>0</x:v>
      </x:c>
      <x:c r="N38" s="13" t="n">
        <x:f>IF(OR('入力'!$B$3=1,'入力'!$B$3=2),L38,0)+M38</x:f>
        <x:v>0</x:v>
      </x:c>
      <x:c r="O38" s="13" t="n">
        <x:f>IF(A38&lt;='入力'!$B$38,IF(OR('入力'!$B$3=1,'入力'!$B$3=2),'入力'!$B$30,0)+IF(AND('入力'!$B$3&gt;1,OR(A38&lt;='入力'!$B$34,'入力'!$B$35&gt;0)),'入力'!$B$31,0),0)</x:f>
        <x:v>0</x:v>
      </x:c>
      <x:c r="P38" s="13" t="n">
        <x:f>IF(A38&lt;='入力'!$B$38,IF(AND(OR('入力'!$B$3=1,'入力'!$B$3=2),A38='入力'!$B$32),'入力'!$B$33,0)+IF(AND('入力'!$B$3&gt;1,'入力'!$B$35&gt;0,A38&gt;'入力'!$B$34,MOD(A38-1,'入力'!$B$34)=0),'入力'!$B$35,0),0)</x:f>
        <x:v>0</x:v>
      </x:c>
      <x:c r="Q38" s="13" t="n">
        <x:f>IF(A38='入力'!$B$38,IF(OR('入力'!$B$3=1,'入力'!$B$3=2),'入力'!$B$36,0)+IF('入力'!$B$3&gt;1,'入力'!$B$37,0),0)</x:f>
        <x:v>0</x:v>
      </x:c>
      <x:c r="R38" s="13" t="n">
        <x:f>N38-SUM(O38:Q38)</x:f>
        <x:v>0</x:v>
      </x:c>
      <x:c r="S38" s="13" t="n">
        <x:f>S37+R38</x:f>
        <x:v>-1859301.6325149063</x:v>
      </x:c>
      <x:c r="T38" s="13" t="n">
        <x:f>R38/(1+'入力'!$B$39)^A38</x:f>
        <x:v>0</x:v>
      </x:c>
      <x:c r="U38" s="13" t="n">
        <x:f>R38-IF(AND(A38&lt;='入力'!$B$38,A38&lt;='入力'!$B$42),$H$3*12,0)</x:f>
        <x:v>0</x:v>
      </x:c>
      <x:c r="V38" s="13" t="n">
        <x:f>V37+U38</x:f>
        <x:v>-1859301.6325149063</x:v>
      </x:c>
      <x:c r="W38" s="1" t="n">
        <x:f>IF(AND(A38&lt;='入力'!$B$38,S38&gt;=0,MIN(S38:$S$42)&gt;=0),A38,999)</x:f>
        <x:v>999</x:v>
      </x:c>
      <x:c r="X38" s="1"/>
      <x:c r="Y38" s="1"/>
      <x:c r="Z38" s="1"/>
      <x:c r="AA38" s="1"/>
      <x:c r="AB38" s="1"/>
      <x:c r="AC38" s="1"/>
      <x:c r="AD38" s="1"/>
    </x:row>
    <x:row r="39" ht="24" customHeight="1">
      <x:c r="A39" s="1" t="n">
        <x:f>32</x:f>
        <x:v>32</x:v>
      </x:c>
      <x:c r="B39" s="13" t="n">
        <x:f>IF(A39&lt;='入力'!$B$38,IF('入力'!$B$3=4,0,'入力'!$B$7*'入力'!$B$8*(1-'入力'!$B$18)^(A39-1)),0)</x:f>
        <x:v>0</x:v>
      </x:c>
      <x:c r="C39" s="13" t="n">
        <x:f>MIN(B39*'入力'!$B$15,'入力'!$B$14)</x:f>
        <x:v>0</x:v>
      </x:c>
      <x:c r="D39" s="13" t="n">
        <x:f>MAX(0,B39-C39)</x:f>
        <x:v>0</x:v>
      </x:c>
      <x:c r="E39" s="13" t="n">
        <x:f>IF(A39&lt;='入力'!$B$38,'入力'!$B$16*(1+'入力'!$B$17)^(A39-1),0)</x:f>
        <x:v>0</x:v>
      </x:c>
      <x:c r="F39" s="13" t="n">
        <x:f>IF(OR('入力'!$B$3=1,'入力'!$B$3=2),IF(A39&lt;=4,'入力'!$B$25,IF(A39&lt;=10,'入力'!$B$26,'入力'!$B$27)),IF(A39&lt;='入力'!$B$29,'入力'!$B$28,'入力'!$B$27))</x:f>
        <x:v>8.5</x:v>
      </x:c>
      <x:c r="G39" s="13" t="n">
        <x:f>MOD(A39-1,'入力'!$B$34)</x:f>
        <x:v>1</x:v>
      </x:c>
      <x:c r="H39" s="13" t="n">
        <x:f>IF(AND(A39&lt;='入力'!$B$38,AND('入力'!$B$3&gt;1,OR(A39&lt;='入力'!$B$34,'入力'!$B$35&gt;0))),'入力'!$B$10*'入力'!$B$21*(1-'入力'!$B$19)^G39,0)</x:f>
        <x:v>0</x:v>
      </x:c>
      <x:c r="I39" s="13" t="n">
        <x:f>IF(AND(A39&lt;='入力'!$B$38,E39*'入力'!$B$20&gt;IF('入力'!$B$3=4,'入力'!$B$43*(1+'入力'!$B$17)^(A39-1),F39)),MIN(IF('入力'!$B$3=4,1E20,D39),H39*'入力'!$B$22*'入力'!$B$23,IF('入力'!$B$3=4,'入力'!$B$14,MIN(MAX(0,'入力'!$B$14-C39),'入力'!$B$14*'入力'!$B$24))/'入力'!$B$20),0)</x:f>
        <x:v>0</x:v>
      </x:c>
      <x:c r="J39" s="13" t="n">
        <x:f>I39*'入力'!$B$20</x:f>
        <x:v>0</x:v>
      </x:c>
      <x:c r="K39" s="13" t="n">
        <x:f>I39-J39</x:f>
        <x:v>0</x:v>
      </x:c>
      <x:c r="L39" s="13" t="n">
        <x:f>C39*E39+D39*F39</x:f>
        <x:v>0</x:v>
      </x:c>
      <x:c r="M39" s="13" t="n">
        <x:f>J39*E39-I39*IF('入力'!$B$3=4,'入力'!$B$43*(1+'入力'!$B$17)^(A39-1),F39)</x:f>
        <x:v>0</x:v>
      </x:c>
      <x:c r="N39" s="13" t="n">
        <x:f>IF(OR('入力'!$B$3=1,'入力'!$B$3=2),L39,0)+M39</x:f>
        <x:v>0</x:v>
      </x:c>
      <x:c r="O39" s="13" t="n">
        <x:f>IF(A39&lt;='入力'!$B$38,IF(OR('入力'!$B$3=1,'入力'!$B$3=2),'入力'!$B$30,0)+IF(AND('入力'!$B$3&gt;1,OR(A39&lt;='入力'!$B$34,'入力'!$B$35&gt;0)),'入力'!$B$31,0),0)</x:f>
        <x:v>0</x:v>
      </x:c>
      <x:c r="P39" s="13" t="n">
        <x:f>IF(A39&lt;='入力'!$B$38,IF(AND(OR('入力'!$B$3=1,'入力'!$B$3=2),A39='入力'!$B$32),'入力'!$B$33,0)+IF(AND('入力'!$B$3&gt;1,'入力'!$B$35&gt;0,A39&gt;'入力'!$B$34,MOD(A39-1,'入力'!$B$34)=0),'入力'!$B$35,0),0)</x:f>
        <x:v>0</x:v>
      </x:c>
      <x:c r="Q39" s="13" t="n">
        <x:f>IF(A39='入力'!$B$38,IF(OR('入力'!$B$3=1,'入力'!$B$3=2),'入力'!$B$36,0)+IF('入力'!$B$3&gt;1,'入力'!$B$37,0),0)</x:f>
        <x:v>0</x:v>
      </x:c>
      <x:c r="R39" s="13" t="n">
        <x:f>N39-SUM(O39:Q39)</x:f>
        <x:v>0</x:v>
      </x:c>
      <x:c r="S39" s="13" t="n">
        <x:f>S38+R39</x:f>
        <x:v>-1859301.6325149063</x:v>
      </x:c>
      <x:c r="T39" s="13" t="n">
        <x:f>R39/(1+'入力'!$B$39)^A39</x:f>
        <x:v>0</x:v>
      </x:c>
      <x:c r="U39" s="13" t="n">
        <x:f>R39-IF(AND(A39&lt;='入力'!$B$38,A39&lt;='入力'!$B$42),$H$3*12,0)</x:f>
        <x:v>0</x:v>
      </x:c>
      <x:c r="V39" s="13" t="n">
        <x:f>V38+U39</x:f>
        <x:v>-1859301.6325149063</x:v>
      </x:c>
      <x:c r="W39" s="1" t="n">
        <x:f>IF(AND(A39&lt;='入力'!$B$38,S39&gt;=0,MIN(S39:$S$42)&gt;=0),A39,999)</x:f>
        <x:v>999</x:v>
      </x:c>
      <x:c r="X39" s="1"/>
      <x:c r="Y39" s="1"/>
      <x:c r="Z39" s="1"/>
      <x:c r="AA39" s="1"/>
      <x:c r="AB39" s="1"/>
      <x:c r="AC39" s="1"/>
      <x:c r="AD39" s="1"/>
    </x:row>
    <x:row r="40" ht="24" customHeight="1">
      <x:c r="A40" s="1" t="n">
        <x:f>33</x:f>
        <x:v>33</x:v>
      </x:c>
      <x:c r="B40" s="13" t="n">
        <x:f>IF(A40&lt;='入力'!$B$38,IF('入力'!$B$3=4,0,'入力'!$B$7*'入力'!$B$8*(1-'入力'!$B$18)^(A40-1)),0)</x:f>
        <x:v>0</x:v>
      </x:c>
      <x:c r="C40" s="13" t="n">
        <x:f>MIN(B40*'入力'!$B$15,'入力'!$B$14)</x:f>
        <x:v>0</x:v>
      </x:c>
      <x:c r="D40" s="13" t="n">
        <x:f>MAX(0,B40-C40)</x:f>
        <x:v>0</x:v>
      </x:c>
      <x:c r="E40" s="13" t="n">
        <x:f>IF(A40&lt;='入力'!$B$38,'入力'!$B$16*(1+'入力'!$B$17)^(A40-1),0)</x:f>
        <x:v>0</x:v>
      </x:c>
      <x:c r="F40" s="13" t="n">
        <x:f>IF(OR('入力'!$B$3=1,'入力'!$B$3=2),IF(A40&lt;=4,'入力'!$B$25,IF(A40&lt;=10,'入力'!$B$26,'入力'!$B$27)),IF(A40&lt;='入力'!$B$29,'入力'!$B$28,'入力'!$B$27))</x:f>
        <x:v>8.5</x:v>
      </x:c>
      <x:c r="G40" s="13" t="n">
        <x:f>MOD(A40-1,'入力'!$B$34)</x:f>
        <x:v>2</x:v>
      </x:c>
      <x:c r="H40" s="13" t="n">
        <x:f>IF(AND(A40&lt;='入力'!$B$38,AND('入力'!$B$3&gt;1,OR(A40&lt;='入力'!$B$34,'入力'!$B$35&gt;0))),'入力'!$B$10*'入力'!$B$21*(1-'入力'!$B$19)^G40,0)</x:f>
        <x:v>0</x:v>
      </x:c>
      <x:c r="I40" s="13" t="n">
        <x:f>IF(AND(A40&lt;='入力'!$B$38,E40*'入力'!$B$20&gt;IF('入力'!$B$3=4,'入力'!$B$43*(1+'入力'!$B$17)^(A40-1),F40)),MIN(IF('入力'!$B$3=4,1E20,D40),H40*'入力'!$B$22*'入力'!$B$23,IF('入力'!$B$3=4,'入力'!$B$14,MIN(MAX(0,'入力'!$B$14-C40),'入力'!$B$14*'入力'!$B$24))/'入力'!$B$20),0)</x:f>
        <x:v>0</x:v>
      </x:c>
      <x:c r="J40" s="13" t="n">
        <x:f>I40*'入力'!$B$20</x:f>
        <x:v>0</x:v>
      </x:c>
      <x:c r="K40" s="13" t="n">
        <x:f>I40-J40</x:f>
        <x:v>0</x:v>
      </x:c>
      <x:c r="L40" s="13" t="n">
        <x:f>C40*E40+D40*F40</x:f>
        <x:v>0</x:v>
      </x:c>
      <x:c r="M40" s="13" t="n">
        <x:f>J40*E40-I40*IF('入力'!$B$3=4,'入力'!$B$43*(1+'入力'!$B$17)^(A40-1),F40)</x:f>
        <x:v>0</x:v>
      </x:c>
      <x:c r="N40" s="13" t="n">
        <x:f>IF(OR('入力'!$B$3=1,'入力'!$B$3=2),L40,0)+M40</x:f>
        <x:v>0</x:v>
      </x:c>
      <x:c r="O40" s="13" t="n">
        <x:f>IF(A40&lt;='入力'!$B$38,IF(OR('入力'!$B$3=1,'入力'!$B$3=2),'入力'!$B$30,0)+IF(AND('入力'!$B$3&gt;1,OR(A40&lt;='入力'!$B$34,'入力'!$B$35&gt;0)),'入力'!$B$31,0),0)</x:f>
        <x:v>0</x:v>
      </x:c>
      <x:c r="P40" s="13" t="n">
        <x:f>IF(A40&lt;='入力'!$B$38,IF(AND(OR('入力'!$B$3=1,'入力'!$B$3=2),A40='入力'!$B$32),'入力'!$B$33,0)+IF(AND('入力'!$B$3&gt;1,'入力'!$B$35&gt;0,A40&gt;'入力'!$B$34,MOD(A40-1,'入力'!$B$34)=0),'入力'!$B$35,0),0)</x:f>
        <x:v>0</x:v>
      </x:c>
      <x:c r="Q40" s="13" t="n">
        <x:f>IF(A40='入力'!$B$38,IF(OR('入力'!$B$3=1,'入力'!$B$3=2),'入力'!$B$36,0)+IF('入力'!$B$3&gt;1,'入力'!$B$37,0),0)</x:f>
        <x:v>0</x:v>
      </x:c>
      <x:c r="R40" s="13" t="n">
        <x:f>N40-SUM(O40:Q40)</x:f>
        <x:v>0</x:v>
      </x:c>
      <x:c r="S40" s="13" t="n">
        <x:f>S39+R40</x:f>
        <x:v>-1859301.6325149063</x:v>
      </x:c>
      <x:c r="T40" s="13" t="n">
        <x:f>R40/(1+'入力'!$B$39)^A40</x:f>
        <x:v>0</x:v>
      </x:c>
      <x:c r="U40" s="13" t="n">
        <x:f>R40-IF(AND(A40&lt;='入力'!$B$38,A40&lt;='入力'!$B$42),$H$3*12,0)</x:f>
        <x:v>0</x:v>
      </x:c>
      <x:c r="V40" s="13" t="n">
        <x:f>V39+U40</x:f>
        <x:v>-1859301.6325149063</x:v>
      </x:c>
      <x:c r="W40" s="1" t="n">
        <x:f>IF(AND(A40&lt;='入力'!$B$38,S40&gt;=0,MIN(S40:$S$42)&gt;=0),A40,999)</x:f>
        <x:v>999</x:v>
      </x:c>
      <x:c r="X40" s="1"/>
      <x:c r="Y40" s="1"/>
      <x:c r="Z40" s="1"/>
      <x:c r="AA40" s="1"/>
      <x:c r="AB40" s="1"/>
      <x:c r="AC40" s="1"/>
      <x:c r="AD40" s="1"/>
    </x:row>
    <x:row r="41" ht="24" customHeight="1">
      <x:c r="A41" s="1" t="n">
        <x:f>34</x:f>
        <x:v>34</x:v>
      </x:c>
      <x:c r="B41" s="13" t="n">
        <x:f>IF(A41&lt;='入力'!$B$38,IF('入力'!$B$3=4,0,'入力'!$B$7*'入力'!$B$8*(1-'入力'!$B$18)^(A41-1)),0)</x:f>
        <x:v>0</x:v>
      </x:c>
      <x:c r="C41" s="13" t="n">
        <x:f>MIN(B41*'入力'!$B$15,'入力'!$B$14)</x:f>
        <x:v>0</x:v>
      </x:c>
      <x:c r="D41" s="13" t="n">
        <x:f>MAX(0,B41-C41)</x:f>
        <x:v>0</x:v>
      </x:c>
      <x:c r="E41" s="13" t="n">
        <x:f>IF(A41&lt;='入力'!$B$38,'入力'!$B$16*(1+'入力'!$B$17)^(A41-1),0)</x:f>
        <x:v>0</x:v>
      </x:c>
      <x:c r="F41" s="13" t="n">
        <x:f>IF(OR('入力'!$B$3=1,'入力'!$B$3=2),IF(A41&lt;=4,'入力'!$B$25,IF(A41&lt;=10,'入力'!$B$26,'入力'!$B$27)),IF(A41&lt;='入力'!$B$29,'入力'!$B$28,'入力'!$B$27))</x:f>
        <x:v>8.5</x:v>
      </x:c>
      <x:c r="G41" s="13" t="n">
        <x:f>MOD(A41-1,'入力'!$B$34)</x:f>
        <x:v>3</x:v>
      </x:c>
      <x:c r="H41" s="13" t="n">
        <x:f>IF(AND(A41&lt;='入力'!$B$38,AND('入力'!$B$3&gt;1,OR(A41&lt;='入力'!$B$34,'入力'!$B$35&gt;0))),'入力'!$B$10*'入力'!$B$21*(1-'入力'!$B$19)^G41,0)</x:f>
        <x:v>0</x:v>
      </x:c>
      <x:c r="I41" s="13" t="n">
        <x:f>IF(AND(A41&lt;='入力'!$B$38,E41*'入力'!$B$20&gt;IF('入力'!$B$3=4,'入力'!$B$43*(1+'入力'!$B$17)^(A41-1),F41)),MIN(IF('入力'!$B$3=4,1E20,D41),H41*'入力'!$B$22*'入力'!$B$23,IF('入力'!$B$3=4,'入力'!$B$14,MIN(MAX(0,'入力'!$B$14-C41),'入力'!$B$14*'入力'!$B$24))/'入力'!$B$20),0)</x:f>
        <x:v>0</x:v>
      </x:c>
      <x:c r="J41" s="13" t="n">
        <x:f>I41*'入力'!$B$20</x:f>
        <x:v>0</x:v>
      </x:c>
      <x:c r="K41" s="13" t="n">
        <x:f>I41-J41</x:f>
        <x:v>0</x:v>
      </x:c>
      <x:c r="L41" s="13" t="n">
        <x:f>C41*E41+D41*F41</x:f>
        <x:v>0</x:v>
      </x:c>
      <x:c r="M41" s="13" t="n">
        <x:f>J41*E41-I41*IF('入力'!$B$3=4,'入力'!$B$43*(1+'入力'!$B$17)^(A41-1),F41)</x:f>
        <x:v>0</x:v>
      </x:c>
      <x:c r="N41" s="13" t="n">
        <x:f>IF(OR('入力'!$B$3=1,'入力'!$B$3=2),L41,0)+M41</x:f>
        <x:v>0</x:v>
      </x:c>
      <x:c r="O41" s="13" t="n">
        <x:f>IF(A41&lt;='入力'!$B$38,IF(OR('入力'!$B$3=1,'入力'!$B$3=2),'入力'!$B$30,0)+IF(AND('入力'!$B$3&gt;1,OR(A41&lt;='入力'!$B$34,'入力'!$B$35&gt;0)),'入力'!$B$31,0),0)</x:f>
        <x:v>0</x:v>
      </x:c>
      <x:c r="P41" s="13" t="n">
        <x:f>IF(A41&lt;='入力'!$B$38,IF(AND(OR('入力'!$B$3=1,'入力'!$B$3=2),A41='入力'!$B$32),'入力'!$B$33,0)+IF(AND('入力'!$B$3&gt;1,'入力'!$B$35&gt;0,A41&gt;'入力'!$B$34,MOD(A41-1,'入力'!$B$34)=0),'入力'!$B$35,0),0)</x:f>
        <x:v>0</x:v>
      </x:c>
      <x:c r="Q41" s="13" t="n">
        <x:f>IF(A41='入力'!$B$38,IF(OR('入力'!$B$3=1,'入力'!$B$3=2),'入力'!$B$36,0)+IF('入力'!$B$3&gt;1,'入力'!$B$37,0),0)</x:f>
        <x:v>0</x:v>
      </x:c>
      <x:c r="R41" s="13" t="n">
        <x:f>N41-SUM(O41:Q41)</x:f>
        <x:v>0</x:v>
      </x:c>
      <x:c r="S41" s="13" t="n">
        <x:f>S40+R41</x:f>
        <x:v>-1859301.6325149063</x:v>
      </x:c>
      <x:c r="T41" s="13" t="n">
        <x:f>R41/(1+'入力'!$B$39)^A41</x:f>
        <x:v>0</x:v>
      </x:c>
      <x:c r="U41" s="13" t="n">
        <x:f>R41-IF(AND(A41&lt;='入力'!$B$38,A41&lt;='入力'!$B$42),$H$3*12,0)</x:f>
        <x:v>0</x:v>
      </x:c>
      <x:c r="V41" s="13" t="n">
        <x:f>V40+U41</x:f>
        <x:v>-1859301.6325149063</x:v>
      </x:c>
      <x:c r="W41" s="1" t="n">
        <x:f>IF(AND(A41&lt;='入力'!$B$38,S41&gt;=0,MIN(S41:$S$42)&gt;=0),A41,999)</x:f>
        <x:v>999</x:v>
      </x:c>
      <x:c r="X41" s="1"/>
      <x:c r="Y41" s="1"/>
      <x:c r="Z41" s="1"/>
      <x:c r="AA41" s="1"/>
      <x:c r="AB41" s="1"/>
      <x:c r="AC41" s="1"/>
      <x:c r="AD41" s="1"/>
    </x:row>
    <x:row r="42" ht="24" customHeight="1">
      <x:c r="A42" s="1" t="n">
        <x:f>35</x:f>
        <x:v>35</x:v>
      </x:c>
      <x:c r="B42" s="13" t="n">
        <x:f>IF(A42&lt;='入力'!$B$38,IF('入力'!$B$3=4,0,'入力'!$B$7*'入力'!$B$8*(1-'入力'!$B$18)^(A42-1)),0)</x:f>
        <x:v>0</x:v>
      </x:c>
      <x:c r="C42" s="13" t="n">
        <x:f>MIN(B42*'入力'!$B$15,'入力'!$B$14)</x:f>
        <x:v>0</x:v>
      </x:c>
      <x:c r="D42" s="13" t="n">
        <x:f>MAX(0,B42-C42)</x:f>
        <x:v>0</x:v>
      </x:c>
      <x:c r="E42" s="13" t="n">
        <x:f>IF(A42&lt;='入力'!$B$38,'入力'!$B$16*(1+'入力'!$B$17)^(A42-1),0)</x:f>
        <x:v>0</x:v>
      </x:c>
      <x:c r="F42" s="13" t="n">
        <x:f>IF(OR('入力'!$B$3=1,'入力'!$B$3=2),IF(A42&lt;=4,'入力'!$B$25,IF(A42&lt;=10,'入力'!$B$26,'入力'!$B$27)),IF(A42&lt;='入力'!$B$29,'入力'!$B$28,'入力'!$B$27))</x:f>
        <x:v>8.5</x:v>
      </x:c>
      <x:c r="G42" s="13" t="n">
        <x:f>MOD(A42-1,'入力'!$B$34)</x:f>
        <x:v>4</x:v>
      </x:c>
      <x:c r="H42" s="13" t="n">
        <x:f>IF(AND(A42&lt;='入力'!$B$38,AND('入力'!$B$3&gt;1,OR(A42&lt;='入力'!$B$34,'入力'!$B$35&gt;0))),'入力'!$B$10*'入力'!$B$21*(1-'入力'!$B$19)^G42,0)</x:f>
        <x:v>0</x:v>
      </x:c>
      <x:c r="I42" s="13" t="n">
        <x:f>IF(AND(A42&lt;='入力'!$B$38,E42*'入力'!$B$20&gt;IF('入力'!$B$3=4,'入力'!$B$43*(1+'入力'!$B$17)^(A42-1),F42)),MIN(IF('入力'!$B$3=4,1E20,D42),H42*'入力'!$B$22*'入力'!$B$23,IF('入力'!$B$3=4,'入力'!$B$14,MIN(MAX(0,'入力'!$B$14-C42),'入力'!$B$14*'入力'!$B$24))/'入力'!$B$20),0)</x:f>
        <x:v>0</x:v>
      </x:c>
      <x:c r="J42" s="13" t="n">
        <x:f>I42*'入力'!$B$20</x:f>
        <x:v>0</x:v>
      </x:c>
      <x:c r="K42" s="13" t="n">
        <x:f>I42-J42</x:f>
        <x:v>0</x:v>
      </x:c>
      <x:c r="L42" s="13" t="n">
        <x:f>C42*E42+D42*F42</x:f>
        <x:v>0</x:v>
      </x:c>
      <x:c r="M42" s="13" t="n">
        <x:f>J42*E42-I42*IF('入力'!$B$3=4,'入力'!$B$43*(1+'入力'!$B$17)^(A42-1),F42)</x:f>
        <x:v>0</x:v>
      </x:c>
      <x:c r="N42" s="13" t="n">
        <x:f>IF(OR('入力'!$B$3=1,'入力'!$B$3=2),L42,0)+M42</x:f>
        <x:v>0</x:v>
      </x:c>
      <x:c r="O42" s="13" t="n">
        <x:f>IF(A42&lt;='入力'!$B$38,IF(OR('入力'!$B$3=1,'入力'!$B$3=2),'入力'!$B$30,0)+IF(AND('入力'!$B$3&gt;1,OR(A42&lt;='入力'!$B$34,'入力'!$B$35&gt;0)),'入力'!$B$31,0),0)</x:f>
        <x:v>0</x:v>
      </x:c>
      <x:c r="P42" s="13" t="n">
        <x:f>IF(A42&lt;='入力'!$B$38,IF(AND(OR('入力'!$B$3=1,'入力'!$B$3=2),A42='入力'!$B$32),'入力'!$B$33,0)+IF(AND('入力'!$B$3&gt;1,'入力'!$B$35&gt;0,A42&gt;'入力'!$B$34,MOD(A42-1,'入力'!$B$34)=0),'入力'!$B$35,0),0)</x:f>
        <x:v>0</x:v>
      </x:c>
      <x:c r="Q42" s="13" t="n">
        <x:f>IF(A42='入力'!$B$38,IF(OR('入力'!$B$3=1,'入力'!$B$3=2),'入力'!$B$36,0)+IF('入力'!$B$3&gt;1,'入力'!$B$37,0),0)</x:f>
        <x:v>0</x:v>
      </x:c>
      <x:c r="R42" s="13" t="n">
        <x:f>N42-SUM(O42:Q42)</x:f>
        <x:v>0</x:v>
      </x:c>
      <x:c r="S42" s="13" t="n">
        <x:f>S41+R42</x:f>
        <x:v>-1859301.6325149063</x:v>
      </x:c>
      <x:c r="T42" s="13" t="n">
        <x:f>R42/(1+'入力'!$B$39)^A42</x:f>
        <x:v>0</x:v>
      </x:c>
      <x:c r="U42" s="13" t="n">
        <x:f>R42-IF(AND(A42&lt;='入力'!$B$38,A42&lt;='入力'!$B$42),$H$3*12,0)</x:f>
        <x:v>0</x:v>
      </x:c>
      <x:c r="V42" s="13" t="n">
        <x:f>V41+U42</x:f>
        <x:v>-1859301.6325149063</x:v>
      </x:c>
      <x:c r="W42" s="1" t="n">
        <x:f>IF(AND(A42&lt;='入力'!$B$38,S42&gt;=0,MIN(S42:$S$42)&gt;=0),A42,999)</x:f>
        <x:v>999</x:v>
      </x:c>
      <x:c r="X42" s="1"/>
      <x:c r="Y42" s="1"/>
      <x:c r="Z42" s="1"/>
      <x:c r="AA42" s="1"/>
      <x:c r="AB42" s="1"/>
      <x:c r="AC42" s="1"/>
      <x:c r="AD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</x:sheetData>
  <x:pageMargins left="0.7" right="0.7" top="0.75" bottom="0.75" header="0.3" footer="0.3"/>
</x:worksheet>
</file>